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  <sheet name="Stammdaten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'Folie 1'!$B$2:$K$33</definedName>
    <definedName name="_xlnm.Print_Area" localSheetId="4">'Folie 2'!$B$2:$K$29</definedName>
    <definedName name="_xlnm.Print_Area" localSheetId="0">'Seite 1 '!$B$2:$O$63</definedName>
    <definedName name="_xlnm.Print_Area" localSheetId="2">'Seite 3'!$B$2:$L$44</definedName>
    <definedName name="ZUIST">'Seite 3'!$B$11:$D$40</definedName>
    <definedName name="ZUSTÜCKIST">'Seite 3'!$B$11:$F$40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<sst xmlns="http://schemas.openxmlformats.org/spreadsheetml/2006/main" count="339" uniqueCount="249">
  <si>
    <t>Vollkosten - Rechnung</t>
  </si>
  <si>
    <t>Zuchtstute m. Fohlen bis 5 Monate</t>
  </si>
  <si>
    <t>Bestandsgröße (St.)</t>
  </si>
  <si>
    <t xml:space="preserve">Umtriebe / Jahr </t>
  </si>
  <si>
    <t>dav.</t>
  </si>
  <si>
    <t>Hauptprodukt</t>
  </si>
  <si>
    <t>Nebenprodukt</t>
  </si>
  <si>
    <t>Altpferd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</si>
  <si>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</si>
  <si>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</si>
  <si>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</si>
  <si>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</si>
  <si>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</si>
  <si>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</si>
  <si>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</si>
  <si>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</si>
  <si>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</si>
  <si>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</si>
  <si>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</si>
  <si>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</si>
  <si>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</si>
  <si>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</si>
  <si>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</si>
  <si>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</si>
  <si>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</si>
  <si>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</si>
  <si>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>Jungstute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</si>
  <si>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</si>
  <si>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</si>
  <si>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</si>
  <si>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</si>
  <si>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</si>
  <si>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</si>
  <si>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kg</t>
  </si>
  <si>
    <t>je kg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</si>
  <si>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</si>
  <si>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</si>
  <si>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</si>
  <si>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</si>
  <si>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</si>
  <si>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</si>
  <si>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</si>
  <si>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</si>
  <si>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Deckgeld, MLP, ZV-Beitrag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</si>
  <si>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</si>
  <si>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</si>
  <si>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</si>
  <si>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</si>
  <si>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</si>
  <si>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</si>
  <si>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</si>
  <si>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</si>
  <si>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</si>
  <si>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</si>
  <si>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</si>
  <si>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</si>
  <si>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</si>
  <si>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</si>
  <si>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</si>
  <si>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</si>
  <si>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</si>
  <si>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</si>
  <si>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</si>
  <si>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</si>
  <si>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</si>
  <si>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</si>
  <si>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</si>
  <si>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</si>
  <si>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</si>
  <si>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</si>
  <si>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</si>
  <si>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</si>
  <si>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</si>
  <si>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</si>
  <si>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</si>
  <si>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</si>
  <si>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</si>
  <si>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</si>
  <si>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</si>
  <si>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</si>
  <si>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</si>
  <si>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</si>
  <si>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</si>
  <si>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</si>
  <si>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</si>
  <si>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</si>
  <si>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</si>
  <si>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</si>
  <si>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</si>
  <si>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</si>
  <si>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</si>
  <si>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</si>
  <si>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</si>
  <si>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</si>
  <si>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</si>
  <si>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</si>
  <si>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</si>
  <si>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</si>
  <si>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</si>
  <si>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</si>
  <si>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</si>
  <si>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</si>
  <si>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</si>
  <si>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</si>
  <si>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</si>
  <si>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</si>
  <si>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</si>
  <si>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</si>
  <si>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</si>
  <si>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</si>
  <si>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</si>
  <si>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</si>
  <si>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</si>
  <si>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</si>
  <si>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</si>
  <si>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</si>
  <si>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</si>
  <si>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</si>
  <si>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Hauptprodukt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</si>
  <si>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</si>
  <si>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</si>
  <si>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</si>
  <si>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</si>
  <si>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</si>
  <si>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</si>
  <si>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Kosten Milchquote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</si>
  <si>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</si>
  <si>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</si>
  <si>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</si>
  <si>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</si>
  <si>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</si>
  <si>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</si>
  <si>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</si>
  <si>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</si>
  <si>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</si>
  <si>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>Hauptleistung</t>
  </si>
  <si>
    <t>Milch</t>
  </si>
  <si>
    <t xml:space="preserve"> kg</t>
  </si>
  <si>
    <t>Kalb</t>
  </si>
  <si>
    <t xml:space="preserve"> Stück</t>
  </si>
  <si>
    <t>Kalbin</t>
  </si>
  <si>
    <t>Fleisch - Lebendgew.</t>
  </si>
  <si>
    <t xml:space="preserve"> kg LG</t>
  </si>
  <si>
    <t>Fleisch - Schlachtgew.</t>
  </si>
  <si>
    <t xml:space="preserve"> kg SG</t>
  </si>
  <si>
    <t>Ferkel</t>
  </si>
  <si>
    <t>Jungsau</t>
  </si>
  <si>
    <t>Absatzfohlen</t>
  </si>
  <si>
    <t>Reitpferd</t>
  </si>
  <si>
    <t>Lamm</t>
  </si>
  <si>
    <t>Eier</t>
  </si>
  <si>
    <t>Küken/Junghennen</t>
  </si>
  <si>
    <t>Masthähnchen</t>
  </si>
  <si>
    <t>Mastputen</t>
  </si>
  <si>
    <t>Mastgänse</t>
  </si>
  <si>
    <t>Mastenten</t>
  </si>
  <si>
    <t>Felle / Pelztiere</t>
  </si>
  <si>
    <t>Honig</t>
  </si>
  <si>
    <t>Miete</t>
  </si>
  <si>
    <t xml:space="preserve"> Mon.</t>
  </si>
  <si>
    <t>Nährstoffeinheit</t>
  </si>
  <si>
    <t>KSTE</t>
  </si>
  <si>
    <t>MJ NEL</t>
  </si>
  <si>
    <t>10 MJ NEL</t>
  </si>
  <si>
    <t>MJ ME</t>
  </si>
  <si>
    <t>10 MJ ME</t>
  </si>
  <si>
    <t xml:space="preserve"> € / kg</t>
  </si>
  <si>
    <t xml:space="preserve"> €/Stück</t>
  </si>
  <si>
    <t xml:space="preserve"> € / kg LG</t>
  </si>
  <si>
    <t xml:space="preserve"> € / kg SG</t>
  </si>
  <si>
    <t xml:space="preserve"> €/Mon.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</si>
  <si>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</si>
  <si>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</si>
  <si>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</si>
  <si>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</si>
  <si>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</si>
  <si>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</si>
  <si>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</si>
  <si>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</si>
  <si>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</si>
  <si>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</si>
  <si>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</si>
  <si>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€ / kg</t>
  </si>
  <si>
    <t xml:space="preserve"> 12 - 15</t>
  </si>
  <si>
    <t xml:space="preserve"> 3 - 4</t>
  </si>
  <si>
    <t>Jauchegrube</t>
  </si>
  <si>
    <t>Kostendeckender Erlös</t>
  </si>
  <si>
    <t xml:space="preserve"> Kalkulatorisches Betriebszweigergebnis</t>
  </si>
  <si>
    <t xml:space="preserve"> € / Stute</t>
  </si>
  <si>
    <t>€ / Stute</t>
  </si>
  <si>
    <t>Vermarktungskosten</t>
  </si>
  <si>
    <t>Abfohlrate:</t>
  </si>
  <si>
    <t>unter Anrechnung eines Lohnansatzes</t>
  </si>
  <si>
    <t xml:space="preserve"> Sonstige variable Kosten</t>
  </si>
  <si>
    <t>Kalkulatorisches Betriebszweigergebnis beim obigen Fohlenpreis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</si>
  <si>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</si>
  <si>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5 Mon. x 0,7 x 1,5 kg / T.</t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</si>
  <si>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</si>
  <si>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</si>
  <si>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</si>
  <si>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</si>
  <si>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</si>
  <si>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</si>
  <si>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</si>
  <si>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</si>
  <si>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</si>
  <si>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</si>
  <si>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</si>
  <si>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</si>
  <si>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</si>
  <si>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t>Quelle: DLG Merkblatt 314, veränd.</t>
  </si>
  <si>
    <t>Stroh : 30 dt x 6,-</t>
  </si>
  <si>
    <r>
      <t xml:space="preserve"> je Einheit     </t>
    </r>
    <r>
      <rPr>
        <sz val="10"/>
        <rFont val="Arial"/>
        <family val="2"/>
      </rPr>
      <t>Stück</t>
    </r>
  </si>
  <si>
    <t xml:space="preserve"> € / Fohlen</t>
  </si>
  <si>
    <t>€ / Fohlen</t>
  </si>
  <si>
    <t xml:space="preserve"> - Produktionsverfahren Zuchtstutenhaltung -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</si>
  <si>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</si>
  <si>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</si>
  <si>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</si>
  <si>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</si>
  <si>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</si>
  <si>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</si>
  <si>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</si>
  <si>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</si>
  <si>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</si>
  <si>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</si>
  <si>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</si>
  <si>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</si>
  <si>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</si>
  <si>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</si>
  <si>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>Nutzungsdauer (J)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</si>
  <si>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</si>
  <si>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</si>
  <si>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</si>
  <si>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</si>
  <si>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</si>
  <si>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</si>
  <si>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</si>
  <si>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</si>
  <si>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</si>
  <si>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</si>
  <si>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</si>
  <si>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</si>
  <si>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</si>
  <si>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10 MJ DE</t>
  </si>
  <si>
    <t>Stck.</t>
  </si>
  <si>
    <t>Abfohlrate</t>
  </si>
  <si>
    <t>Nutzungsdauer (Jahre) 
je Stute</t>
  </si>
  <si>
    <t xml:space="preserve"> (Feld-)Arbeitstage/Jahr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</si>
</sst>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72" fontId="20" fillId="3" borderId="16" xfId="19" applyNumberFormat="1" applyFont="1" applyFill="1" applyBorder="1" applyAlignment="1" applyProtection="1">
      <alignment vertical="center"/>
      <protection locked="0"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172" fontId="20" fillId="2" borderId="17" xfId="19" applyNumberFormat="1" applyFont="1" applyFill="1" applyBorder="1" applyAlignment="1" applyProtection="1">
      <alignment vertical="center"/>
      <protection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8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9" xfId="19" applyFont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 locked="0"/>
    </xf>
    <xf numFmtId="0" fontId="20" fillId="3" borderId="20" xfId="19" applyFont="1" applyFill="1" applyBorder="1" applyAlignment="1" applyProtection="1">
      <alignment vertical="center"/>
      <protection locked="0"/>
    </xf>
    <xf numFmtId="3" fontId="20" fillId="3" borderId="21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" vertical="center"/>
      <protection/>
    </xf>
    <xf numFmtId="3" fontId="20" fillId="0" borderId="23" xfId="19" applyNumberFormat="1" applyFont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4" xfId="19" applyFont="1" applyFill="1" applyBorder="1" applyAlignment="1" applyProtection="1">
      <alignment horizontal="center" vertical="center" wrapText="1"/>
      <protection/>
    </xf>
    <xf numFmtId="2" fontId="20" fillId="3" borderId="19" xfId="19" applyNumberFormat="1" applyFont="1" applyFill="1" applyBorder="1" applyAlignment="1" applyProtection="1">
      <alignment vertical="center"/>
      <protection locked="0"/>
    </xf>
    <xf numFmtId="0" fontId="20" fillId="0" borderId="25" xfId="19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3" xfId="17" applyNumberFormat="1" applyFont="1" applyFill="1" applyBorder="1" applyAlignment="1" applyProtection="1">
      <alignment vertical="center"/>
      <protection locked="0"/>
    </xf>
    <xf numFmtId="4" fontId="20" fillId="3" borderId="26" xfId="17" applyNumberFormat="1" applyFont="1" applyFill="1" applyBorder="1" applyAlignment="1" applyProtection="1">
      <alignment vertical="center"/>
      <protection locked="0"/>
    </xf>
    <xf numFmtId="3" fontId="20" fillId="3" borderId="27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9" fillId="0" borderId="28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17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3" fontId="20" fillId="3" borderId="14" xfId="19" applyNumberFormat="1" applyFont="1" applyFill="1" applyBorder="1" applyAlignment="1" applyProtection="1">
      <alignment vertical="center"/>
      <protection locked="0"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9" xfId="19" applyNumberFormat="1" applyFont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 locked="0"/>
    </xf>
    <xf numFmtId="4" fontId="20" fillId="3" borderId="17" xfId="19" applyNumberFormat="1" applyFont="1" applyFill="1" applyBorder="1" applyAlignment="1" applyProtection="1">
      <alignment vertical="center"/>
      <protection locked="0"/>
    </xf>
    <xf numFmtId="3" fontId="20" fillId="3" borderId="23" xfId="19" applyNumberFormat="1" applyFont="1" applyFill="1" applyBorder="1" applyAlignment="1" applyProtection="1">
      <alignment vertical="center"/>
      <protection locked="0"/>
    </xf>
    <xf numFmtId="4" fontId="20" fillId="3" borderId="23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4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6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30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17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17" xfId="19" applyNumberFormat="1" applyFont="1" applyFill="1" applyBorder="1" applyAlignment="1" applyProtection="1">
      <alignment horizontal="center" vertical="center"/>
      <protection/>
    </xf>
    <xf numFmtId="3" fontId="27" fillId="0" borderId="31" xfId="19" applyNumberFormat="1" applyFont="1" applyFill="1" applyBorder="1" applyAlignment="1" applyProtection="1">
      <alignment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19" xfId="19" applyFont="1" applyFill="1" applyBorder="1" applyAlignment="1" applyProtection="1">
      <alignment vertical="center"/>
      <protection/>
    </xf>
    <xf numFmtId="0" fontId="29" fillId="0" borderId="19" xfId="19" applyFont="1" applyFill="1" applyBorder="1" applyAlignment="1" applyProtection="1">
      <alignment horizontal="right" vertical="center"/>
      <protection/>
    </xf>
    <xf numFmtId="3" fontId="27" fillId="0" borderId="25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Continuous" vertical="center"/>
      <protection/>
    </xf>
    <xf numFmtId="3" fontId="23" fillId="0" borderId="32" xfId="19" applyNumberFormat="1" applyFont="1" applyBorder="1" applyAlignment="1" applyProtection="1">
      <alignment horizontal="centerContinuous" vertical="center"/>
      <protection/>
    </xf>
    <xf numFmtId="0" fontId="33" fillId="2" borderId="33" xfId="19" applyFont="1" applyFill="1" applyBorder="1" applyAlignment="1" applyProtection="1">
      <alignment vertical="center"/>
      <protection/>
    </xf>
    <xf numFmtId="0" fontId="20" fillId="0" borderId="33" xfId="19" applyFont="1" applyBorder="1" applyAlignment="1" applyProtection="1">
      <alignment vertical="center"/>
      <protection/>
    </xf>
    <xf numFmtId="0" fontId="27" fillId="2" borderId="33" xfId="19" applyFont="1" applyFill="1" applyBorder="1" applyAlignment="1" applyProtection="1">
      <alignment vertical="center"/>
      <protection/>
    </xf>
    <xf numFmtId="0" fontId="29" fillId="2" borderId="33" xfId="19" applyFont="1" applyFill="1" applyBorder="1" applyAlignment="1" applyProtection="1">
      <alignment vertical="center"/>
      <protection/>
    </xf>
    <xf numFmtId="0" fontId="27" fillId="2" borderId="33" xfId="19" applyFont="1" applyFill="1" applyBorder="1" applyAlignment="1" applyProtection="1">
      <alignment vertical="center" wrapText="1"/>
      <protection/>
    </xf>
    <xf numFmtId="0" fontId="20" fillId="0" borderId="33" xfId="19" applyFont="1" applyBorder="1" applyAlignment="1" applyProtection="1">
      <alignment vertical="center" wrapText="1"/>
      <protection/>
    </xf>
    <xf numFmtId="0" fontId="27" fillId="0" borderId="34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2" fontId="23" fillId="0" borderId="35" xfId="19" applyNumberFormat="1" applyFont="1" applyBorder="1" applyAlignment="1" applyProtection="1">
      <alignment horizontal="centerContinuous"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6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5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31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31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31" xfId="20" applyFill="1" applyBorder="1" applyAlignment="1" applyProtection="1">
      <alignment horizontal="centerContinuous"/>
      <protection/>
    </xf>
    <xf numFmtId="0" fontId="20" fillId="0" borderId="20" xfId="19" applyFont="1" applyBorder="1" applyAlignment="1" applyProtection="1">
      <alignment vertical="center"/>
      <protection/>
    </xf>
    <xf numFmtId="0" fontId="0" fillId="0" borderId="19" xfId="20" applyFont="1" applyBorder="1" applyAlignment="1" applyProtection="1">
      <alignment vertical="center"/>
      <protection/>
    </xf>
    <xf numFmtId="0" fontId="17" fillId="0" borderId="19" xfId="20" applyBorder="1" applyProtection="1">
      <alignment/>
      <protection/>
    </xf>
    <xf numFmtId="0" fontId="20" fillId="0" borderId="19" xfId="19" applyFont="1" applyBorder="1" applyAlignment="1" applyProtection="1">
      <alignment horizontal="right" vertical="center"/>
      <protection/>
    </xf>
    <xf numFmtId="0" fontId="17" fillId="2" borderId="19" xfId="20" applyFill="1" applyBorder="1" applyAlignment="1" applyProtection="1">
      <alignment horizontal="center" vertical="center"/>
      <protection/>
    </xf>
    <xf numFmtId="0" fontId="20" fillId="2" borderId="19" xfId="19" applyFont="1" applyFill="1" applyBorder="1" applyAlignment="1" applyProtection="1">
      <alignment horizontal="right" vertical="center"/>
      <protection/>
    </xf>
    <xf numFmtId="0" fontId="20" fillId="0" borderId="19" xfId="19" applyFont="1" applyBorder="1" applyAlignment="1" applyProtection="1">
      <alignment horizontal="centerContinuous" vertical="center"/>
      <protection/>
    </xf>
    <xf numFmtId="0" fontId="17" fillId="0" borderId="25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7" xfId="20" applyFont="1" applyBorder="1" applyAlignment="1" applyProtection="1">
      <alignment vertical="center"/>
      <protection/>
    </xf>
    <xf numFmtId="0" fontId="20" fillId="0" borderId="17" xfId="19" applyFont="1" applyBorder="1" applyAlignment="1" applyProtection="1">
      <alignment horizontal="right" vertical="center"/>
      <protection/>
    </xf>
    <xf numFmtId="0" fontId="20" fillId="3" borderId="17" xfId="19" applyFont="1" applyFill="1" applyBorder="1" applyAlignment="1" applyProtection="1">
      <alignment horizontal="right" vertical="center"/>
      <protection locked="0"/>
    </xf>
    <xf numFmtId="0" fontId="20" fillId="3" borderId="37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31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17" xfId="19" applyNumberFormat="1" applyFont="1" applyFill="1" applyBorder="1" applyAlignment="1" applyProtection="1">
      <alignment vertical="center"/>
      <protection locked="0"/>
    </xf>
    <xf numFmtId="2" fontId="20" fillId="3" borderId="37" xfId="19" applyNumberFormat="1" applyFont="1" applyFill="1" applyBorder="1" applyAlignment="1" applyProtection="1">
      <alignment vertical="center"/>
      <protection locked="0"/>
    </xf>
    <xf numFmtId="2" fontId="20" fillId="3" borderId="31" xfId="19" applyNumberFormat="1" applyFont="1" applyFill="1" applyBorder="1" applyAlignment="1" applyProtection="1">
      <alignment horizontal="right" vertical="center"/>
      <protection locked="0"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31" xfId="19" applyNumberFormat="1" applyFont="1" applyFill="1" applyBorder="1" applyAlignment="1" applyProtection="1">
      <alignment horizontal="right" vertical="center"/>
      <protection/>
    </xf>
    <xf numFmtId="0" fontId="20" fillId="0" borderId="38" xfId="19" applyFont="1" applyBorder="1" applyAlignment="1" applyProtection="1">
      <alignment horizontal="right"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20" xfId="19" applyNumberFormat="1" applyFont="1" applyFill="1" applyBorder="1" applyAlignment="1" applyProtection="1">
      <alignment vertical="center"/>
      <protection/>
    </xf>
    <xf numFmtId="2" fontId="20" fillId="2" borderId="25" xfId="19" applyNumberFormat="1" applyFont="1" applyFill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22" fillId="0" borderId="19" xfId="19" applyFont="1" applyBorder="1" applyAlignment="1" applyProtection="1">
      <alignment horizontal="right"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20" xfId="19" applyNumberFormat="1" applyFont="1" applyFill="1" applyBorder="1" applyAlignment="1" applyProtection="1">
      <alignment vertical="center"/>
      <protection/>
    </xf>
    <xf numFmtId="2" fontId="25" fillId="2" borderId="25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9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6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17" xfId="19" applyFont="1" applyFill="1" applyBorder="1" applyAlignment="1" applyProtection="1">
      <alignment horizontal="center" vertical="center"/>
      <protection locked="0"/>
    </xf>
    <xf numFmtId="0" fontId="20" fillId="2" borderId="17" xfId="19" applyFont="1" applyFill="1" applyBorder="1" applyAlignment="1" applyProtection="1">
      <alignment horizontal="center" vertical="center"/>
      <protection/>
    </xf>
    <xf numFmtId="0" fontId="20" fillId="3" borderId="38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3" fontId="0" fillId="3" borderId="23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7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3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1" xfId="0" applyNumberFormat="1" applyFont="1" applyFill="1" applyBorder="1" applyAlignment="1" applyProtection="1">
      <alignment vertical="center"/>
      <protection/>
    </xf>
    <xf numFmtId="0" fontId="17" fillId="0" borderId="33" xfId="20" applyBorder="1" applyProtection="1">
      <alignment/>
      <protection/>
    </xf>
    <xf numFmtId="172" fontId="34" fillId="0" borderId="1" xfId="20" applyNumberFormat="1" applyFont="1" applyBorder="1" applyAlignment="1" applyProtection="1">
      <alignment horizontal="centerContinuous" vertical="center"/>
      <protection/>
    </xf>
    <xf numFmtId="0" fontId="34" fillId="0" borderId="5" xfId="2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1" fontId="0" fillId="2" borderId="18" xfId="0" applyNumberFormat="1" applyFont="1" applyFill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9" xfId="0" applyNumberFormat="1" applyFont="1" applyFill="1" applyBorder="1" applyAlignment="1" applyProtection="1">
      <alignment vertical="center"/>
      <protection locked="0"/>
    </xf>
    <xf numFmtId="1" fontId="0" fillId="2" borderId="21" xfId="0" applyNumberFormat="1" applyFont="1" applyFill="1" applyBorder="1" applyAlignment="1" applyProtection="1">
      <alignment vertical="center"/>
      <protection/>
    </xf>
    <xf numFmtId="3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3" fontId="0" fillId="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3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2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4" fillId="2" borderId="44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5" xfId="0" applyFont="1" applyBorder="1" applyAlignment="1" applyProtection="1">
      <alignment vertical="center"/>
      <protection/>
    </xf>
    <xf numFmtId="0" fontId="20" fillId="0" borderId="46" xfId="19" applyFont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0" fillId="0" borderId="40" xfId="19" applyFont="1" applyBorder="1" applyAlignment="1" applyProtection="1">
      <alignment vertical="center"/>
      <protection/>
    </xf>
    <xf numFmtId="0" fontId="20" fillId="0" borderId="47" xfId="19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0" fontId="20" fillId="0" borderId="35" xfId="19" applyFont="1" applyBorder="1" applyAlignment="1" applyProtection="1">
      <alignment vertical="center"/>
      <protection/>
    </xf>
    <xf numFmtId="172" fontId="20" fillId="3" borderId="17" xfId="19" applyNumberFormat="1" applyFont="1" applyFill="1" applyBorder="1" applyAlignment="1" applyProtection="1">
      <alignment horizontal="center" vertical="center"/>
      <protection locked="0"/>
    </xf>
    <xf numFmtId="172" fontId="20" fillId="3" borderId="38" xfId="19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0" fillId="0" borderId="1" xfId="19" applyFont="1" applyBorder="1" applyAlignment="1" applyProtection="1">
      <alignment horizontal="center" vertical="center"/>
      <protection locked="0"/>
    </xf>
    <xf numFmtId="0" fontId="20" fillId="0" borderId="5" xfId="19" applyFont="1" applyBorder="1" applyAlignment="1" applyProtection="1">
      <alignment horizontal="center" vertical="center"/>
      <protection locked="0"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30" xfId="0" applyNumberFormat="1" applyFont="1" applyFill="1" applyBorder="1" applyAlignment="1" applyProtection="1">
      <alignment horizontal="right" vertical="center"/>
      <protection/>
    </xf>
    <xf numFmtId="172" fontId="0" fillId="2" borderId="30" xfId="0" applyNumberFormat="1" applyFont="1" applyFill="1" applyBorder="1" applyAlignment="1" applyProtection="1">
      <alignment vertical="center"/>
      <protection/>
    </xf>
    <xf numFmtId="3" fontId="0" fillId="2" borderId="39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40" xfId="0" applyFont="1" applyBorder="1" applyAlignment="1" applyProtection="1">
      <alignment horizontal="right" vertical="center"/>
      <protection/>
    </xf>
    <xf numFmtId="0" fontId="40" fillId="0" borderId="48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9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2" fontId="0" fillId="3" borderId="42" xfId="0" applyNumberFormat="1" applyFont="1" applyFill="1" applyBorder="1" applyAlignment="1" applyProtection="1">
      <alignment vertical="center"/>
      <protection locked="0"/>
    </xf>
    <xf numFmtId="1" fontId="20" fillId="0" borderId="9" xfId="19" applyNumberFormat="1" applyFont="1" applyBorder="1" applyAlignment="1" applyProtection="1">
      <alignment horizontal="right" vertical="center"/>
      <protection/>
    </xf>
    <xf numFmtId="2" fontId="0" fillId="0" borderId="37" xfId="0" applyNumberFormat="1" applyFont="1" applyFill="1" applyBorder="1" applyAlignment="1" applyProtection="1">
      <alignment vertical="center"/>
      <protection/>
    </xf>
    <xf numFmtId="2" fontId="0" fillId="3" borderId="37" xfId="0" applyNumberFormat="1" applyFont="1" applyFill="1" applyBorder="1" applyAlignment="1" applyProtection="1">
      <alignment vertical="center"/>
      <protection locked="0"/>
    </xf>
    <xf numFmtId="2" fontId="0" fillId="0" borderId="49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17" xfId="20" applyFont="1" applyFill="1" applyBorder="1" applyAlignment="1" applyProtection="1">
      <alignment horizontal="center" vertical="center"/>
      <protection locked="0"/>
    </xf>
    <xf numFmtId="0" fontId="0" fillId="3" borderId="21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vertical="center"/>
      <protection/>
    </xf>
    <xf numFmtId="0" fontId="20" fillId="0" borderId="31" xfId="19" applyFont="1" applyBorder="1" applyAlignment="1" applyProtection="1">
      <alignment vertical="center"/>
      <protection/>
    </xf>
    <xf numFmtId="0" fontId="20" fillId="2" borderId="25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52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20" fillId="0" borderId="54" xfId="19" applyFont="1" applyBorder="1" applyAlignment="1" applyProtection="1">
      <alignment horizontal="center" vertical="center"/>
      <protection/>
    </xf>
    <xf numFmtId="0" fontId="20" fillId="0" borderId="55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0" fontId="20" fillId="0" borderId="57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49" xfId="19" applyFont="1" applyFill="1" applyBorder="1" applyAlignment="1" applyProtection="1">
      <alignment vertical="center"/>
      <protection/>
    </xf>
    <xf numFmtId="0" fontId="25" fillId="2" borderId="19" xfId="19" applyFont="1" applyFill="1" applyBorder="1" applyAlignment="1" applyProtection="1">
      <alignment vertical="center"/>
      <protection/>
    </xf>
    <xf numFmtId="4" fontId="20" fillId="2" borderId="45" xfId="17" applyNumberFormat="1" applyFont="1" applyFill="1" applyBorder="1" applyAlignment="1" applyProtection="1">
      <alignment vertical="center"/>
      <protection/>
    </xf>
    <xf numFmtId="4" fontId="20" fillId="2" borderId="58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9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31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0" fillId="3" borderId="40" xfId="19" applyFont="1" applyFill="1" applyBorder="1" applyAlignment="1" applyProtection="1">
      <alignment vertical="center"/>
      <protection locked="0"/>
    </xf>
    <xf numFmtId="0" fontId="20" fillId="3" borderId="25" xfId="19" applyFont="1" applyFill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9" xfId="19" applyFont="1" applyBorder="1" applyAlignment="1" applyProtection="1">
      <alignment horizontal="center" vertical="center"/>
      <protection/>
    </xf>
    <xf numFmtId="3" fontId="20" fillId="3" borderId="51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1" xfId="19" applyNumberFormat="1" applyFont="1" applyFill="1" applyBorder="1" applyAlignment="1" applyProtection="1">
      <alignment horizontal="centerContinuous" vertical="center"/>
      <protection/>
    </xf>
    <xf numFmtId="3" fontId="20" fillId="2" borderId="47" xfId="19" applyNumberFormat="1" applyFont="1" applyFill="1" applyBorder="1" applyAlignment="1" applyProtection="1">
      <alignment horizontal="centerContinuous" vertical="center"/>
      <protection/>
    </xf>
    <xf numFmtId="0" fontId="29" fillId="0" borderId="62" xfId="19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3" xfId="19" applyFont="1" applyFill="1" applyBorder="1" applyAlignment="1" applyProtection="1">
      <alignment horizontal="centerContinuous" vertical="center" wrapText="1"/>
      <protection/>
    </xf>
    <xf numFmtId="0" fontId="27" fillId="0" borderId="63" xfId="19" applyFont="1" applyBorder="1" applyAlignment="1" applyProtection="1">
      <alignment horizontal="centerContinuous" vertical="center" wrapText="1"/>
      <protection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7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17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8" xfId="19" applyFont="1" applyBorder="1" applyAlignment="1" applyProtection="1">
      <alignment horizontal="centerContinuous" vertical="center" wrapText="1"/>
      <protection/>
    </xf>
    <xf numFmtId="0" fontId="27" fillId="0" borderId="24" xfId="19" applyFont="1" applyFill="1" applyBorder="1" applyAlignment="1" applyProtection="1">
      <alignment horizontal="center" vertical="center" wrapText="1"/>
      <protection/>
    </xf>
    <xf numFmtId="0" fontId="27" fillId="0" borderId="24" xfId="19" applyFont="1" applyBorder="1" applyAlignment="1" applyProtection="1">
      <alignment horizontal="centerContinuous" vertical="center"/>
      <protection/>
    </xf>
    <xf numFmtId="0" fontId="27" fillId="0" borderId="64" xfId="19" applyFont="1" applyBorder="1" applyAlignment="1" applyProtection="1">
      <alignment horizontal="centerContinuous" vertical="center"/>
      <protection/>
    </xf>
    <xf numFmtId="4" fontId="27" fillId="2" borderId="17" xfId="17" applyNumberFormat="1" applyFont="1" applyFill="1" applyBorder="1" applyAlignment="1" applyProtection="1">
      <alignment horizontal="center" vertical="center"/>
      <protection/>
    </xf>
    <xf numFmtId="4" fontId="27" fillId="2" borderId="37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8" xfId="19" applyNumberFormat="1" applyFont="1" applyFill="1" applyBorder="1" applyAlignment="1" applyProtection="1">
      <alignment horizontal="center" vertical="center"/>
      <protection/>
    </xf>
    <xf numFmtId="0" fontId="40" fillId="0" borderId="63" xfId="0" applyFont="1" applyBorder="1" applyAlignment="1">
      <alignment horizontal="center" vertical="center"/>
    </xf>
    <xf numFmtId="0" fontId="27" fillId="2" borderId="24" xfId="19" applyFont="1" applyFill="1" applyBorder="1" applyAlignment="1" applyProtection="1">
      <alignment horizontal="center" vertical="center"/>
      <protection/>
    </xf>
    <xf numFmtId="0" fontId="27" fillId="2" borderId="39" xfId="19" applyFont="1" applyFill="1" applyBorder="1" applyAlignment="1" applyProtection="1">
      <alignment horizontal="right" vertical="center" wrapText="1"/>
      <protection/>
    </xf>
    <xf numFmtId="0" fontId="29" fillId="0" borderId="65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6" xfId="19" applyFont="1" applyFill="1" applyBorder="1" applyAlignment="1" applyProtection="1">
      <alignment vertical="center"/>
      <protection locked="0"/>
    </xf>
    <xf numFmtId="0" fontId="20" fillId="3" borderId="67" xfId="19" applyFont="1" applyFill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40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right" vertical="center"/>
      <protection/>
    </xf>
    <xf numFmtId="0" fontId="40" fillId="0" borderId="39" xfId="0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Font="1" applyBorder="1" applyAlignment="1" applyProtection="1">
      <alignment horizontal="center" vertical="center"/>
      <protection/>
    </xf>
    <xf numFmtId="0" fontId="38" fillId="0" borderId="77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40" fillId="0" borderId="64" xfId="0" applyFont="1" applyBorder="1" applyAlignment="1" applyProtection="1">
      <alignment horizontal="centerContinuous" vertical="center"/>
      <protection/>
    </xf>
    <xf numFmtId="3" fontId="0" fillId="3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9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40" xfId="0" applyNumberFormat="1" applyFont="1" applyBorder="1" applyAlignment="1" applyProtection="1">
      <alignment horizontal="right" vertical="center"/>
      <protection/>
    </xf>
    <xf numFmtId="0" fontId="40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3" xfId="19" applyFont="1" applyFill="1" applyBorder="1" applyAlignment="1" applyProtection="1">
      <alignment vertical="center"/>
      <protection/>
    </xf>
    <xf numFmtId="0" fontId="20" fillId="4" borderId="20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4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172" fontId="34" fillId="0" borderId="0" xfId="20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5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/>
      <protection/>
    </xf>
    <xf numFmtId="2" fontId="4" fillId="2" borderId="78" xfId="0" applyNumberFormat="1" applyFont="1" applyFill="1" applyBorder="1" applyAlignment="1" applyProtection="1">
      <alignment horizontal="center" vertical="center"/>
      <protection/>
    </xf>
    <xf numFmtId="2" fontId="4" fillId="2" borderId="79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9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9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4" xfId="20" applyFont="1" applyBorder="1" applyAlignment="1" applyProtection="1">
      <alignment horizontal="centerContinuous" vertical="center"/>
      <protection/>
    </xf>
    <xf numFmtId="0" fontId="5" fillId="4" borderId="20" xfId="20" applyFont="1" applyFill="1" applyBorder="1" applyAlignment="1" applyProtection="1">
      <alignment vertical="center"/>
      <protection/>
    </xf>
    <xf numFmtId="0" fontId="0" fillId="4" borderId="19" xfId="20" applyFont="1" applyFill="1" applyBorder="1" applyAlignment="1" applyProtection="1">
      <alignment vertical="center"/>
      <protection/>
    </xf>
    <xf numFmtId="0" fontId="27" fillId="2" borderId="38" xfId="19" applyFont="1" applyFill="1" applyBorder="1" applyAlignment="1" applyProtection="1">
      <alignment horizontal="center" vertical="center" wrapText="1"/>
      <protection/>
    </xf>
    <xf numFmtId="0" fontId="25" fillId="3" borderId="38" xfId="19" applyFont="1" applyFill="1" applyBorder="1" applyAlignment="1" applyProtection="1">
      <alignment horizontal="center" vertical="center"/>
      <protection locked="0"/>
    </xf>
    <xf numFmtId="0" fontId="25" fillId="2" borderId="20" xfId="19" applyFont="1" applyFill="1" applyBorder="1" applyAlignment="1" applyProtection="1">
      <alignment horizontal="centerContinuous" vertical="center"/>
      <protection/>
    </xf>
    <xf numFmtId="0" fontId="25" fillId="3" borderId="49" xfId="19" applyFont="1" applyFill="1" applyBorder="1" applyAlignment="1" applyProtection="1">
      <alignment horizontal="centerContinuous" vertical="center"/>
      <protection locked="0"/>
    </xf>
    <xf numFmtId="0" fontId="17" fillId="0" borderId="20" xfId="20" applyBorder="1" applyAlignment="1" applyProtection="1">
      <alignment horizontal="centerContinuous" vertical="center"/>
      <protection/>
    </xf>
    <xf numFmtId="0" fontId="17" fillId="0" borderId="25" xfId="20" applyBorder="1" applyAlignment="1" applyProtection="1">
      <alignment horizontal="centerContinuous" vertical="center"/>
      <protection/>
    </xf>
    <xf numFmtId="172" fontId="0" fillId="3" borderId="30" xfId="0" applyNumberFormat="1" applyFont="1" applyFill="1" applyBorder="1" applyAlignment="1" applyProtection="1">
      <alignment vertical="center"/>
      <protection locked="0"/>
    </xf>
    <xf numFmtId="172" fontId="0" fillId="3" borderId="37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17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3" fontId="4" fillId="0" borderId="80" xfId="0" applyNumberFormat="1" applyFont="1" applyBorder="1" applyAlignment="1" applyProtection="1">
      <alignment horizontal="centerContinuous" vertical="center"/>
      <protection/>
    </xf>
    <xf numFmtId="3" fontId="4" fillId="0" borderId="50" xfId="0" applyNumberFormat="1" applyFont="1" applyBorder="1" applyAlignment="1" applyProtection="1">
      <alignment horizontal="centerContinuous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37" fillId="0" borderId="82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1" fillId="0" borderId="8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4" xfId="0" applyNumberFormat="1" applyFont="1" applyBorder="1" applyAlignment="1" applyProtection="1">
      <alignment horizontal="right" vertical="center"/>
      <protection/>
    </xf>
    <xf numFmtId="0" fontId="11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horizontal="right"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0" fillId="0" borderId="8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32" xfId="0" applyNumberFormat="1" applyFont="1" applyBorder="1" applyAlignment="1" applyProtection="1">
      <alignment vertical="center"/>
      <protection/>
    </xf>
    <xf numFmtId="0" fontId="15" fillId="0" borderId="8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3" fontId="15" fillId="0" borderId="4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3" fontId="15" fillId="0" borderId="87" xfId="0" applyNumberFormat="1" applyFont="1" applyBorder="1" applyAlignment="1" applyProtection="1">
      <alignment vertical="center"/>
      <protection/>
    </xf>
    <xf numFmtId="3" fontId="15" fillId="0" borderId="32" xfId="0" applyNumberFormat="1" applyFont="1" applyBorder="1" applyAlignment="1" applyProtection="1">
      <alignment vertical="center"/>
      <protection/>
    </xf>
    <xf numFmtId="0" fontId="14" fillId="0" borderId="89" xfId="0" applyFont="1" applyBorder="1" applyAlignment="1" applyProtection="1">
      <alignment vertical="center"/>
      <protection/>
    </xf>
    <xf numFmtId="0" fontId="14" fillId="0" borderId="82" xfId="0" applyFont="1" applyBorder="1" applyAlignment="1" applyProtection="1">
      <alignment vertical="center"/>
      <protection/>
    </xf>
    <xf numFmtId="0" fontId="10" fillId="0" borderId="90" xfId="0" applyFont="1" applyBorder="1" applyAlignment="1" applyProtection="1">
      <alignment vertical="center"/>
      <protection/>
    </xf>
    <xf numFmtId="0" fontId="11" fillId="0" borderId="8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3" fontId="15" fillId="0" borderId="92" xfId="0" applyNumberFormat="1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" fontId="15" fillId="0" borderId="43" xfId="0" applyNumberFormat="1" applyFont="1" applyBorder="1" applyAlignment="1" applyProtection="1">
      <alignment vertical="center"/>
      <protection/>
    </xf>
    <xf numFmtId="0" fontId="15" fillId="0" borderId="43" xfId="0" applyFont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vertical="center"/>
      <protection/>
    </xf>
    <xf numFmtId="0" fontId="11" fillId="0" borderId="94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5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" fontId="36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4" fontId="36" fillId="0" borderId="14" xfId="0" applyNumberFormat="1" applyFont="1" applyBorder="1" applyAlignment="1" applyProtection="1">
      <alignment horizontal="center" vertical="center"/>
      <protection/>
    </xf>
    <xf numFmtId="3" fontId="11" fillId="0" borderId="32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92" xfId="0" applyNumberFormat="1" applyFont="1" applyBorder="1" applyAlignment="1" applyProtection="1">
      <alignment horizontal="right" vertical="center"/>
      <protection/>
    </xf>
    <xf numFmtId="3" fontId="36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5" xfId="0" applyNumberFormat="1" applyFont="1" applyBorder="1" applyAlignment="1" applyProtection="1">
      <alignment vertical="center"/>
      <protection/>
    </xf>
    <xf numFmtId="3" fontId="18" fillId="2" borderId="95" xfId="0" applyNumberFormat="1" applyFont="1" applyFill="1" applyBorder="1" applyAlignment="1" applyProtection="1">
      <alignment horizontal="center" vertical="center"/>
      <protection/>
    </xf>
    <xf numFmtId="3" fontId="18" fillId="2" borderId="96" xfId="0" applyNumberFormat="1" applyFont="1" applyFill="1" applyBorder="1" applyAlignment="1" applyProtection="1">
      <alignment horizontal="center" vertical="center"/>
      <protection/>
    </xf>
    <xf numFmtId="3" fontId="4" fillId="0" borderId="97" xfId="0" applyNumberFormat="1" applyFont="1" applyBorder="1" applyAlignment="1" applyProtection="1">
      <alignment horizontal="centerContinuous" vertical="center"/>
      <protection/>
    </xf>
    <xf numFmtId="3" fontId="4" fillId="0" borderId="98" xfId="0" applyNumberFormat="1" applyFont="1" applyBorder="1" applyAlignment="1" applyProtection="1">
      <alignment horizontal="centerContinuous" vertical="center"/>
      <protection/>
    </xf>
    <xf numFmtId="3" fontId="37" fillId="0" borderId="98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5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0" borderId="99" xfId="19" applyNumberFormat="1" applyFont="1" applyBorder="1" applyAlignment="1" applyProtection="1">
      <alignment horizontal="center" vertical="center"/>
      <protection/>
    </xf>
    <xf numFmtId="221" fontId="33" fillId="2" borderId="99" xfId="19" applyNumberFormat="1" applyFont="1" applyFill="1" applyBorder="1" applyAlignment="1" applyProtection="1">
      <alignment horizontal="center" vertical="center"/>
      <protection/>
    </xf>
    <xf numFmtId="221" fontId="37" fillId="0" borderId="22" xfId="0" applyNumberFormat="1" applyFont="1" applyFill="1" applyBorder="1" applyAlignment="1" applyProtection="1">
      <alignment horizontal="centerContinuous" vertical="center"/>
      <protection/>
    </xf>
    <xf numFmtId="221" fontId="37" fillId="0" borderId="100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8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9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101" xfId="0" applyNumberFormat="1" applyFont="1" applyBorder="1" applyAlignment="1" applyProtection="1">
      <alignment vertical="center"/>
      <protection/>
    </xf>
    <xf numFmtId="221" fontId="14" fillId="0" borderId="82" xfId="0" applyNumberFormat="1" applyFont="1" applyBorder="1" applyAlignment="1" applyProtection="1">
      <alignment vertical="center"/>
      <protection/>
    </xf>
    <xf numFmtId="221" fontId="14" fillId="0" borderId="101" xfId="0" applyNumberFormat="1" applyFont="1" applyBorder="1" applyAlignment="1" applyProtection="1">
      <alignment horizontal="right" vertical="center"/>
      <protection/>
    </xf>
    <xf numFmtId="221" fontId="14" fillId="0" borderId="44" xfId="0" applyNumberFormat="1" applyFont="1" applyFill="1" applyBorder="1" applyAlignment="1" applyProtection="1">
      <alignment vertical="center"/>
      <protection/>
    </xf>
    <xf numFmtId="221" fontId="0" fillId="0" borderId="48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/>
    </xf>
    <xf numFmtId="3" fontId="20" fillId="3" borderId="18" xfId="19" applyNumberFormat="1" applyFont="1" applyFill="1" applyBorder="1" applyAlignment="1" applyProtection="1">
      <alignment vertical="center"/>
      <protection/>
    </xf>
    <xf numFmtId="3" fontId="20" fillId="3" borderId="21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61" xfId="19" applyFont="1" applyBorder="1" applyAlignment="1" applyProtection="1">
      <alignment horizontal="center" vertical="center"/>
      <protection/>
    </xf>
    <xf numFmtId="172" fontId="20" fillId="3" borderId="20" xfId="19" applyNumberFormat="1" applyFont="1" applyFill="1" applyBorder="1" applyAlignment="1" applyProtection="1">
      <alignment vertical="center"/>
      <protection locked="0"/>
    </xf>
    <xf numFmtId="172" fontId="20" fillId="2" borderId="38" xfId="19" applyNumberFormat="1" applyFont="1" applyFill="1" applyBorder="1" applyAlignment="1" applyProtection="1">
      <alignment vertical="center"/>
      <protection/>
    </xf>
    <xf numFmtId="2" fontId="20" fillId="0" borderId="21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32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30" xfId="19" applyFont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172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1" xfId="0" applyFont="1" applyBorder="1" applyAlignment="1" applyProtection="1">
      <alignment horizontal="left" vertical="center"/>
      <protection/>
    </xf>
    <xf numFmtId="0" fontId="20" fillId="0" borderId="37" xfId="19" applyFont="1" applyBorder="1" applyAlignment="1" applyProtection="1">
      <alignment vertical="center"/>
      <protection/>
    </xf>
    <xf numFmtId="0" fontId="0" fillId="0" borderId="102" xfId="0" applyFont="1" applyBorder="1" applyAlignment="1" applyProtection="1">
      <alignment vertical="center"/>
      <protection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3" borderId="103" xfId="0" applyFont="1" applyFill="1" applyBorder="1" applyAlignment="1" applyProtection="1">
      <alignment vertical="center"/>
      <protection locked="0"/>
    </xf>
    <xf numFmtId="0" fontId="0" fillId="2" borderId="45" xfId="0" applyFont="1" applyFill="1" applyBorder="1" applyAlignment="1" applyProtection="1">
      <alignment vertical="center"/>
      <protection/>
    </xf>
    <xf numFmtId="0" fontId="20" fillId="0" borderId="45" xfId="19" applyFont="1" applyBorder="1" applyAlignment="1" applyProtection="1">
      <alignment vertical="center"/>
      <protection/>
    </xf>
    <xf numFmtId="0" fontId="0" fillId="3" borderId="104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4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1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5" xfId="19" applyNumberFormat="1" applyFont="1" applyFill="1" applyBorder="1" applyAlignment="1" applyProtection="1">
      <alignment vertical="center"/>
      <protection/>
    </xf>
    <xf numFmtId="2" fontId="20" fillId="2" borderId="58" xfId="19" applyNumberFormat="1" applyFont="1" applyFill="1" applyBorder="1" applyAlignment="1" applyProtection="1">
      <alignment vertical="center"/>
      <protection/>
    </xf>
    <xf numFmtId="0" fontId="20" fillId="4" borderId="30" xfId="19" applyFont="1" applyFill="1" applyBorder="1" applyAlignment="1" applyProtection="1">
      <alignment vertical="center"/>
      <protection/>
    </xf>
    <xf numFmtId="0" fontId="40" fillId="0" borderId="106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90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1" fillId="0" borderId="82" xfId="0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horizontal="right" vertical="center"/>
      <protection/>
    </xf>
    <xf numFmtId="0" fontId="0" fillId="0" borderId="90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4" fillId="0" borderId="45" xfId="20" applyFont="1" applyBorder="1" applyAlignment="1" applyProtection="1">
      <alignment vertical="center"/>
      <protection/>
    </xf>
    <xf numFmtId="0" fontId="0" fillId="0" borderId="45" xfId="20" applyFont="1" applyBorder="1" applyAlignment="1" applyProtection="1">
      <alignment vertical="center"/>
      <protection/>
    </xf>
    <xf numFmtId="0" fontId="22" fillId="0" borderId="45" xfId="19" applyFont="1" applyBorder="1" applyAlignment="1" applyProtection="1">
      <alignment horizontal="right" vertical="center"/>
      <protection/>
    </xf>
    <xf numFmtId="2" fontId="22" fillId="2" borderId="105" xfId="19" applyNumberFormat="1" applyFont="1" applyFill="1" applyBorder="1" applyAlignment="1" applyProtection="1">
      <alignment vertical="center"/>
      <protection/>
    </xf>
    <xf numFmtId="2" fontId="22" fillId="2" borderId="45" xfId="19" applyNumberFormat="1" applyFont="1" applyFill="1" applyBorder="1" applyAlignment="1" applyProtection="1">
      <alignment vertical="center"/>
      <protection/>
    </xf>
    <xf numFmtId="2" fontId="22" fillId="2" borderId="107" xfId="19" applyNumberFormat="1" applyFont="1" applyFill="1" applyBorder="1" applyAlignment="1" applyProtection="1">
      <alignment vertical="center"/>
      <protection/>
    </xf>
    <xf numFmtId="0" fontId="0" fillId="0" borderId="108" xfId="0" applyFont="1" applyBorder="1" applyAlignment="1" applyProtection="1">
      <alignment horizontal="centerContinuous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40" xfId="0" applyFont="1" applyBorder="1" applyAlignment="1">
      <alignment horizontal="right" vertical="center"/>
    </xf>
    <xf numFmtId="0" fontId="40" fillId="0" borderId="64" xfId="0" applyFont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109" xfId="0" applyFont="1" applyFill="1" applyBorder="1" applyAlignment="1" applyProtection="1">
      <alignment horizontal="left" vertical="center" wrapText="1"/>
      <protection/>
    </xf>
    <xf numFmtId="221" fontId="14" fillId="0" borderId="110" xfId="0" applyNumberFormat="1" applyFont="1" applyFill="1" applyBorder="1" applyAlignment="1" applyProtection="1">
      <alignment vertical="center"/>
      <protection/>
    </xf>
    <xf numFmtId="221" fontId="0" fillId="0" borderId="111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2" xfId="0" applyFont="1" applyBorder="1" applyAlignment="1" applyProtection="1">
      <alignment vertical="center"/>
      <protection/>
    </xf>
    <xf numFmtId="172" fontId="0" fillId="2" borderId="67" xfId="0" applyNumberFormat="1" applyFont="1" applyFill="1" applyBorder="1" applyAlignment="1" applyProtection="1">
      <alignment horizontal="center" vertical="center"/>
      <protection/>
    </xf>
    <xf numFmtId="3" fontId="20" fillId="0" borderId="38" xfId="19" applyNumberFormat="1" applyFont="1" applyFill="1" applyBorder="1" applyAlignment="1" applyProtection="1">
      <alignment horizontal="center" vertical="center"/>
      <protection/>
    </xf>
    <xf numFmtId="0" fontId="4" fillId="0" borderId="1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3" xfId="0" applyFont="1" applyBorder="1" applyAlignment="1" applyProtection="1">
      <alignment horizontal="center" vertical="center"/>
      <protection/>
    </xf>
    <xf numFmtId="0" fontId="0" fillId="0" borderId="114" xfId="0" applyFont="1" applyBorder="1" applyAlignment="1" applyProtection="1">
      <alignment vertical="center"/>
      <protection/>
    </xf>
    <xf numFmtId="0" fontId="40" fillId="0" borderId="115" xfId="0" applyFont="1" applyBorder="1" applyAlignment="1" applyProtection="1">
      <alignment horizontal="right" vertical="center"/>
      <protection/>
    </xf>
    <xf numFmtId="0" fontId="0" fillId="0" borderId="116" xfId="0" applyFont="1" applyBorder="1" applyAlignment="1" applyProtection="1">
      <alignment vertical="center"/>
      <protection/>
    </xf>
    <xf numFmtId="222" fontId="4" fillId="0" borderId="117" xfId="0" applyNumberFormat="1" applyFont="1" applyBorder="1" applyAlignment="1" applyProtection="1">
      <alignment horizontal="center" vertical="center"/>
      <protection/>
    </xf>
    <xf numFmtId="0" fontId="4" fillId="2" borderId="116" xfId="0" applyFont="1" applyFill="1" applyBorder="1" applyAlignment="1" applyProtection="1">
      <alignment horizontal="center" vertical="center"/>
      <protection/>
    </xf>
    <xf numFmtId="2" fontId="18" fillId="0" borderId="118" xfId="0" applyNumberFormat="1" applyFont="1" applyBorder="1" applyAlignment="1" applyProtection="1">
      <alignment horizontal="center" vertical="center"/>
      <protection/>
    </xf>
    <xf numFmtId="0" fontId="40" fillId="0" borderId="25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9" xfId="0" applyFont="1" applyBorder="1" applyAlignment="1" applyProtection="1">
      <alignment vertical="center"/>
      <protection/>
    </xf>
    <xf numFmtId="0" fontId="0" fillId="4" borderId="119" xfId="0" applyFont="1" applyFill="1" applyBorder="1" applyAlignment="1" applyProtection="1">
      <alignment vertical="center"/>
      <protection/>
    </xf>
    <xf numFmtId="0" fontId="0" fillId="4" borderId="44" xfId="0" applyFont="1" applyFill="1" applyBorder="1" applyAlignment="1" applyProtection="1">
      <alignment vertical="center"/>
      <protection/>
    </xf>
    <xf numFmtId="3" fontId="20" fillId="3" borderId="38" xfId="19" applyNumberFormat="1" applyFont="1" applyFill="1" applyBorder="1" applyAlignment="1" applyProtection="1">
      <alignment vertical="center"/>
      <protection locked="0"/>
    </xf>
    <xf numFmtId="9" fontId="25" fillId="3" borderId="2" xfId="18" applyFont="1" applyFill="1" applyBorder="1" applyAlignment="1" applyProtection="1">
      <alignment horizontal="center" vertical="center"/>
      <protection locked="0"/>
    </xf>
    <xf numFmtId="4" fontId="20" fillId="0" borderId="120" xfId="19" applyNumberFormat="1" applyFont="1" applyFill="1" applyBorder="1" applyAlignment="1" applyProtection="1">
      <alignment vertical="center"/>
      <protection/>
    </xf>
    <xf numFmtId="4" fontId="20" fillId="0" borderId="12" xfId="19" applyNumberFormat="1" applyFont="1" applyFill="1" applyBorder="1" applyAlignment="1" applyProtection="1">
      <alignment vertical="center"/>
      <protection/>
    </xf>
    <xf numFmtId="4" fontId="20" fillId="0" borderId="104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17" xfId="19" applyFont="1" applyFill="1" applyBorder="1" applyAlignment="1" applyProtection="1">
      <alignment horizontal="right" vertical="center"/>
      <protection/>
    </xf>
    <xf numFmtId="0" fontId="23" fillId="3" borderId="35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0" fillId="0" borderId="3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27" fillId="0" borderId="0" xfId="19" applyFont="1" applyAlignment="1" applyProtection="1">
      <alignment horizontal="left" vertical="center"/>
      <protection/>
    </xf>
    <xf numFmtId="0" fontId="27" fillId="0" borderId="40" xfId="19" applyFont="1" applyBorder="1" applyAlignment="1" applyProtection="1">
      <alignment horizontal="left" vertical="center"/>
      <protection/>
    </xf>
    <xf numFmtId="0" fontId="23" fillId="5" borderId="35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0" fillId="0" borderId="112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4" xfId="20" applyFont="1" applyBorder="1" applyAlignment="1" applyProtection="1">
      <alignment horizontal="left" vertical="center"/>
      <protection/>
    </xf>
    <xf numFmtId="0" fontId="37" fillId="5" borderId="35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7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105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left" vertical="center"/>
      <protection locked="0"/>
    </xf>
    <xf numFmtId="0" fontId="14" fillId="0" borderId="83" xfId="0" applyFont="1" applyFill="1" applyBorder="1" applyAlignment="1" applyProtection="1">
      <alignment vertical="center" wrapText="1"/>
      <protection/>
    </xf>
    <xf numFmtId="0" fontId="0" fillId="0" borderId="43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4" fillId="0" borderId="122" xfId="0" applyNumberFormat="1" applyFont="1" applyFill="1" applyBorder="1" applyAlignment="1" applyProtection="1">
      <alignment horizontal="center" vertical="center"/>
      <protection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221" fontId="14" fillId="0" borderId="93" xfId="0" applyNumberFormat="1" applyFont="1" applyFill="1" applyBorder="1" applyAlignment="1" applyProtection="1">
      <alignment horizontal="center" vertical="center"/>
      <protection/>
    </xf>
    <xf numFmtId="3" fontId="13" fillId="0" borderId="122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93" xfId="0" applyNumberFormat="1" applyFont="1" applyFill="1" applyBorder="1" applyAlignment="1" applyProtection="1">
      <alignment horizontal="center" vertical="center"/>
      <protection/>
    </xf>
    <xf numFmtId="0" fontId="15" fillId="5" borderId="35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24" xfId="0" applyNumberFormat="1" applyFont="1" applyBorder="1" applyAlignment="1" applyProtection="1">
      <alignment horizontal="center" vertical="center"/>
      <protection/>
    </xf>
    <xf numFmtId="3" fontId="15" fillId="0" borderId="125" xfId="0" applyNumberFormat="1" applyFont="1" applyBorder="1" applyAlignment="1" applyProtection="1">
      <alignment horizontal="center" vertical="center"/>
      <protection/>
    </xf>
    <xf numFmtId="3" fontId="15" fillId="0" borderId="126" xfId="0" applyNumberFormat="1" applyFont="1" applyBorder="1" applyAlignment="1" applyProtection="1">
      <alignment horizontal="center" vertical="center"/>
      <protection/>
    </xf>
    <xf numFmtId="0" fontId="46" fillId="5" borderId="35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Fohlen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1'!$C$20:$C$24)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1'!$J$20:$J$24)</c:f>
              <c:numCache>
                <c:ptCount val="10"/>
                <c:pt idx="0">
                  <c:v>833.3333333333333</c:v>
                </c:pt>
                <c:pt idx="1">
                  <c:v>57.142857142857146</c:v>
                </c:pt>
                <c:pt idx="2">
                  <c:v>1089.5714285714287</c:v>
                </c:pt>
                <c:pt idx="3">
                  <c:v>2042.857142857143</c:v>
                </c:pt>
                <c:pt idx="4">
                  <c:v>0</c:v>
                </c:pt>
                <c:pt idx="5">
                  <c:v>433.33885714285714</c:v>
                </c:pt>
                <c:pt idx="6">
                  <c:v>112.57142857142857</c:v>
                </c:pt>
                <c:pt idx="7">
                  <c:v>428.5714285714286</c:v>
                </c:pt>
                <c:pt idx="8">
                  <c:v>1632.857142857143</c:v>
                </c:pt>
                <c:pt idx="9">
                  <c:v>242.85714285714286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0.90575</cdr:y>
    </cdr:from>
    <cdr:to>
      <cdr:x>0.77775</cdr:x>
      <cdr:y>0.95175</cdr:y>
    </cdr:to>
    <cdr:sp textlink="'Seite 3'!$L$27">
      <cdr:nvSpPr>
        <cdr:cNvPr id="1" name="TextBox 1"/>
        <cdr:cNvSpPr txBox="1">
          <a:spLocks noChangeArrowheads="1"/>
        </cdr:cNvSpPr>
      </cdr:nvSpPr>
      <cdr:spPr>
        <a:xfrm>
          <a:off x="6457950" y="5581650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78b95b9-8b39-441c-8cdf-50974bc51a1e}" type="TxLink"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6.633</a:t>
          </a:fld>
        </a:p>
      </cdr:txBody>
    </cdr:sp>
  </cdr:relSizeAnchor>
  <cdr:relSizeAnchor xmlns:cdr="http://schemas.openxmlformats.org/drawingml/2006/chartDrawing">
    <cdr:from>
      <cdr:x>0.51575</cdr:x>
      <cdr:y>0.85975</cdr:y>
    </cdr:from>
    <cdr:to>
      <cdr:x>0.98075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5295900"/>
          <a:ext cx="435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Zeros="0" tabSelected="1" workbookViewId="0" topLeftCell="A1">
      <selection activeCell="T13" sqref="T13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0.421875" style="5" customWidth="1"/>
    <col min="11" max="11" width="9.7109375" style="5" customWidth="1"/>
    <col min="12" max="12" width="2.7109375" style="5" customWidth="1"/>
    <col min="13" max="13" width="9.421875" style="5" customWidth="1"/>
    <col min="14" max="14" width="2.7109375" style="5" customWidth="1"/>
    <col min="15" max="15" width="10.003906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413" t="s">
        <v>0</v>
      </c>
      <c r="C2" s="4"/>
      <c r="D2" s="4"/>
      <c r="H2"/>
      <c r="I2" s="782" t="s">
        <v>1</v>
      </c>
      <c r="J2" s="783"/>
      <c r="K2" s="783"/>
      <c r="L2" s="783"/>
      <c r="M2" s="783"/>
      <c r="N2" s="783"/>
      <c r="O2" s="784"/>
      <c r="P2" s="6"/>
    </row>
    <row r="3" spans="2:15" ht="15">
      <c r="B3" s="417" t="s">
        <v>215</v>
      </c>
      <c r="H3" s="6"/>
      <c r="I3"/>
      <c r="J3"/>
      <c r="K3" s="7"/>
      <c r="L3" s="6"/>
      <c r="M3" s="12"/>
      <c r="N3" s="6"/>
      <c r="O3" s="6"/>
    </row>
    <row r="4" spans="2:15" ht="18" customHeight="1">
      <c r="B4" s="672" t="s">
        <v>216</v>
      </c>
      <c r="I4"/>
      <c r="J4" s="8"/>
      <c r="K4" s="9"/>
      <c r="M4" s="8"/>
      <c r="N4" s="8"/>
      <c r="O4" s="10"/>
    </row>
    <row r="5" spans="2:19" ht="192">
      <c r="B5" s="788" t="s">
        <v>2</v>
      </c>
      <c r="C5" s="788"/>
      <c r="D5" s="788"/>
      <c r="E5" s="789"/>
      <c r="F5" s="14">
        <v>5</v>
      </c>
      <c r="G5" s="786" t="s">
        <v>247</v>
      </c>
      <c r="H5" s="787"/>
      <c r="I5" s="780">
        <v>12</v>
      </c>
      <c r="J5" s="13" t="s">
        <v>246</v>
      </c>
      <c r="K5" s="776">
        <v>0.7</v>
      </c>
      <c r="Q5" s="416" t="s">
        <v>3</v>
      </c>
      <c r="R5" s="673"/>
      <c r="S5" s="751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75">
        <v>1</v>
      </c>
      <c r="C7" s="481"/>
      <c r="D7" s="481"/>
      <c r="E7" s="482"/>
      <c r="F7" s="481"/>
      <c r="G7" s="481"/>
      <c r="H7" s="481"/>
      <c r="I7" s="15" t="str">
        <f>VLOOKUP(Stammdaten!C3,Stammdaten!B4:D24,3)</f>
        <v> Stück</v>
      </c>
      <c r="J7" s="687" t="s">
        <v>198</v>
      </c>
      <c r="K7" s="16" t="s">
        <v>180</v>
      </c>
      <c r="L7" s="17"/>
      <c r="M7" s="18" t="s">
        <v>197</v>
      </c>
      <c r="N7" s="17"/>
      <c r="O7" s="18" t="str">
        <f>VLOOKUP(Stammdaten!C3,Stammdaten!B4:E24,4)</f>
        <v> € / Fohlen</v>
      </c>
    </row>
    <row r="8" spans="5:18" ht="9" customHeight="1">
      <c r="E8" s="19"/>
      <c r="Q8"/>
      <c r="R8"/>
    </row>
    <row r="9" spans="2:18" ht="18" customHeight="1">
      <c r="B9" s="376">
        <f>B7+1</f>
        <v>2</v>
      </c>
      <c r="C9" s="20" t="s">
        <v>229</v>
      </c>
      <c r="D9" s="20"/>
      <c r="E9" s="20"/>
      <c r="F9" s="21"/>
      <c r="G9" s="22"/>
      <c r="H9" s="22"/>
      <c r="I9" s="22"/>
      <c r="J9" s="21"/>
      <c r="K9" s="23"/>
      <c r="L9" s="24"/>
      <c r="M9" s="25">
        <f>K10+K11+K12+K13</f>
        <v>2483.3333333333335</v>
      </c>
      <c r="N9" s="6"/>
      <c r="O9" s="25">
        <f>M9/$I$10</f>
        <v>3547.619047619048</v>
      </c>
      <c r="Q9"/>
      <c r="R9"/>
    </row>
    <row r="10" spans="2:18" ht="15" customHeight="1">
      <c r="B10" s="376">
        <f>B9+1</f>
        <v>3</v>
      </c>
      <c r="C10" s="26"/>
      <c r="D10" s="27" t="s">
        <v>4</v>
      </c>
      <c r="E10" s="27" t="s">
        <v>5</v>
      </c>
      <c r="F10" s="28"/>
      <c r="G10" s="440" t="s">
        <v>147</v>
      </c>
      <c r="H10" s="315"/>
      <c r="I10" s="777">
        <f>K5</f>
        <v>0.7</v>
      </c>
      <c r="J10" s="670">
        <v>3500</v>
      </c>
      <c r="K10" s="29">
        <f>I10*J10</f>
        <v>2450</v>
      </c>
      <c r="L10" s="6"/>
      <c r="M10" s="342"/>
      <c r="N10" s="6"/>
      <c r="O10" s="343"/>
      <c r="P10" s="6"/>
      <c r="Q10"/>
      <c r="R10"/>
    </row>
    <row r="11" spans="2:18" ht="12.75" customHeight="1">
      <c r="B11" s="377">
        <f>B10+1</f>
        <v>4</v>
      </c>
      <c r="C11" s="30"/>
      <c r="D11" s="31" t="s">
        <v>4</v>
      </c>
      <c r="E11" s="31" t="s">
        <v>6</v>
      </c>
      <c r="F11" s="32"/>
      <c r="G11" s="440" t="s">
        <v>7</v>
      </c>
      <c r="H11" s="383"/>
      <c r="I11" s="778">
        <f>1/I5</f>
        <v>0.08333333333333333</v>
      </c>
      <c r="J11" s="671">
        <v>400</v>
      </c>
      <c r="K11" s="36">
        <f>I11*J11</f>
        <v>33.33333333333333</v>
      </c>
      <c r="L11" s="6"/>
      <c r="M11" s="8"/>
      <c r="N11" s="6"/>
      <c r="O11" s="10"/>
      <c r="P11" s="6"/>
      <c r="Q11"/>
      <c r="R11"/>
    </row>
    <row r="12" spans="2:18" ht="12" customHeight="1">
      <c r="B12" s="377">
        <f>B11+1</f>
        <v>5</v>
      </c>
      <c r="C12" s="37"/>
      <c r="D12" s="31" t="s">
        <v>4</v>
      </c>
      <c r="E12" s="33"/>
      <c r="F12" s="384"/>
      <c r="G12" s="440">
        <v>0</v>
      </c>
      <c r="H12" s="383"/>
      <c r="I12" s="34"/>
      <c r="J12" s="35"/>
      <c r="K12" s="36">
        <f>I12*J12</f>
        <v>0</v>
      </c>
      <c r="L12" s="6"/>
      <c r="M12" s="8"/>
      <c r="N12" s="6"/>
      <c r="O12" s="10"/>
      <c r="P12" s="6"/>
      <c r="Q12"/>
      <c r="R12"/>
    </row>
    <row r="13" spans="2:18" ht="12" customHeight="1">
      <c r="B13" s="377">
        <f>B12+1</f>
        <v>6</v>
      </c>
      <c r="C13" s="32"/>
      <c r="D13" s="31" t="s">
        <v>4</v>
      </c>
      <c r="E13" s="38"/>
      <c r="F13" s="239"/>
      <c r="G13" s="441"/>
      <c r="H13" s="239"/>
      <c r="I13" s="39"/>
      <c r="J13" s="40"/>
      <c r="K13" s="41">
        <f>I13*J13</f>
        <v>0</v>
      </c>
      <c r="L13" s="6"/>
      <c r="M13" s="8"/>
      <c r="N13" s="6"/>
      <c r="O13" s="10"/>
      <c r="P13" s="6"/>
      <c r="Q13"/>
      <c r="R13"/>
    </row>
    <row r="14" spans="2:18" s="30" customFormat="1" ht="18.75" customHeight="1">
      <c r="B14" s="377">
        <f>B13+1</f>
        <v>7</v>
      </c>
      <c r="C14" s="405" t="s">
        <v>8</v>
      </c>
      <c r="D14" s="389"/>
      <c r="E14" s="389"/>
      <c r="G14" s="418" t="s">
        <v>9</v>
      </c>
      <c r="H14" s="419" t="s">
        <v>10</v>
      </c>
      <c r="I14" s="420" t="s">
        <v>11</v>
      </c>
      <c r="J14" s="421" t="s">
        <v>12</v>
      </c>
      <c r="K14" s="422" t="s">
        <v>13</v>
      </c>
      <c r="L14" s="6"/>
      <c r="M14" s="44">
        <f>K16+K17+K18+K19+K20</f>
        <v>135.04</v>
      </c>
      <c r="N14" s="6"/>
      <c r="O14" s="45">
        <f>M14/$I$10</f>
        <v>192.9142857142857</v>
      </c>
      <c r="P14" s="6"/>
      <c r="Q14"/>
      <c r="R14"/>
    </row>
    <row r="15" spans="2:18" s="30" customFormat="1" ht="24.75" customHeight="1">
      <c r="B15" s="406"/>
      <c r="C15" s="42"/>
      <c r="D15" s="43"/>
      <c r="E15" s="43"/>
      <c r="F15" s="5"/>
      <c r="G15" s="423" t="s">
        <v>14</v>
      </c>
      <c r="H15" s="424" t="s">
        <v>15</v>
      </c>
      <c r="I15" s="425" t="s">
        <v>16</v>
      </c>
      <c r="J15" s="426" t="s">
        <v>17</v>
      </c>
      <c r="K15" s="427" t="s">
        <v>179</v>
      </c>
      <c r="L15" s="6"/>
      <c r="M15" s="403"/>
      <c r="N15" s="6"/>
      <c r="O15" s="404"/>
      <c r="P15" s="6"/>
      <c r="Q15"/>
      <c r="R15"/>
    </row>
    <row r="16" spans="2:18" s="30" customFormat="1" ht="12" customHeight="1">
      <c r="B16" s="377">
        <f>B14+1</f>
        <v>8</v>
      </c>
      <c r="C16" s="46"/>
      <c r="D16" s="46" t="s">
        <v>4</v>
      </c>
      <c r="E16" s="47" t="s">
        <v>18</v>
      </c>
      <c r="F16" s="32"/>
      <c r="G16" s="48">
        <v>73</v>
      </c>
      <c r="H16" s="49">
        <v>40</v>
      </c>
      <c r="I16" s="50">
        <f>G16-(G16*H16/100)</f>
        <v>43.8</v>
      </c>
      <c r="J16" s="51">
        <v>0.8</v>
      </c>
      <c r="K16" s="52">
        <f>I16*J16</f>
        <v>35.04</v>
      </c>
      <c r="L16" s="6"/>
      <c r="M16" s="344"/>
      <c r="N16" s="6"/>
      <c r="O16" s="344"/>
      <c r="P16" s="6"/>
      <c r="Q16"/>
      <c r="R16"/>
    </row>
    <row r="17" spans="2:18" s="30" customFormat="1" ht="12" customHeight="1">
      <c r="B17" s="377">
        <f aca="true" t="shared" si="0" ref="B17:B23">B16+1</f>
        <v>9</v>
      </c>
      <c r="C17" s="46"/>
      <c r="D17" s="46" t="s">
        <v>4</v>
      </c>
      <c r="E17" s="47" t="s">
        <v>19</v>
      </c>
      <c r="F17" s="5"/>
      <c r="G17" s="48">
        <v>35</v>
      </c>
      <c r="H17" s="483"/>
      <c r="I17" s="50">
        <f>G17</f>
        <v>35</v>
      </c>
      <c r="J17" s="51">
        <v>0.8</v>
      </c>
      <c r="K17" s="52">
        <f>I17*J17</f>
        <v>28</v>
      </c>
      <c r="L17" s="6"/>
      <c r="M17" s="344"/>
      <c r="N17" s="6"/>
      <c r="O17" s="344"/>
      <c r="P17" s="6"/>
      <c r="Q17"/>
      <c r="R17"/>
    </row>
    <row r="18" spans="2:18" s="30" customFormat="1" ht="12" customHeight="1">
      <c r="B18" s="377">
        <f t="shared" si="0"/>
        <v>10</v>
      </c>
      <c r="C18" s="46"/>
      <c r="D18" s="46" t="s">
        <v>4</v>
      </c>
      <c r="E18" s="47" t="s">
        <v>20</v>
      </c>
      <c r="F18" s="32"/>
      <c r="G18" s="48">
        <v>120</v>
      </c>
      <c r="H18" s="483"/>
      <c r="I18" s="50">
        <f>G18</f>
        <v>120</v>
      </c>
      <c r="J18" s="51">
        <v>0.6</v>
      </c>
      <c r="K18" s="52">
        <f>I18*J18</f>
        <v>72</v>
      </c>
      <c r="L18" s="6"/>
      <c r="M18" s="344"/>
      <c r="N18" s="6"/>
      <c r="O18" s="344"/>
      <c r="P18" s="6"/>
      <c r="Q18"/>
      <c r="R18"/>
    </row>
    <row r="19" spans="2:18" s="30" customFormat="1" ht="12.75" customHeight="1">
      <c r="B19" s="377">
        <f t="shared" si="0"/>
        <v>11</v>
      </c>
      <c r="C19" s="46"/>
      <c r="D19" s="46" t="s">
        <v>4</v>
      </c>
      <c r="E19" s="53"/>
      <c r="F19" s="47"/>
      <c r="G19" s="48"/>
      <c r="H19" s="483"/>
      <c r="I19" s="50">
        <f>G19</f>
        <v>0</v>
      </c>
      <c r="J19" s="51"/>
      <c r="K19" s="52">
        <f>I19*J19</f>
        <v>0</v>
      </c>
      <c r="L19" s="6"/>
      <c r="M19" s="344"/>
      <c r="N19" s="6"/>
      <c r="O19" s="344"/>
      <c r="P19" s="6"/>
      <c r="Q19"/>
      <c r="R19"/>
    </row>
    <row r="20" spans="2:16" ht="12.75" customHeight="1">
      <c r="B20" s="688">
        <f t="shared" si="0"/>
        <v>12</v>
      </c>
      <c r="C20" s="61"/>
      <c r="D20" s="61" t="s">
        <v>4</v>
      </c>
      <c r="E20" s="62"/>
      <c r="F20" s="346"/>
      <c r="G20" s="689"/>
      <c r="H20" s="484"/>
      <c r="I20" s="690">
        <f>G20</f>
        <v>0</v>
      </c>
      <c r="J20" s="77"/>
      <c r="K20" s="691">
        <f>I20*J20</f>
        <v>0</v>
      </c>
      <c r="L20" s="6"/>
      <c r="M20" s="344"/>
      <c r="N20" s="6"/>
      <c r="O20" s="344"/>
      <c r="P20" s="6"/>
    </row>
    <row r="21" spans="2:15" ht="18" customHeight="1" hidden="1">
      <c r="B21" s="375">
        <f t="shared" si="0"/>
        <v>13</v>
      </c>
      <c r="C21" s="55" t="s">
        <v>21</v>
      </c>
      <c r="D21" s="55"/>
      <c r="E21" s="56"/>
      <c r="F21" s="56"/>
      <c r="G21" s="57"/>
      <c r="H21" s="22"/>
      <c r="I21" s="21"/>
      <c r="J21" s="21"/>
      <c r="K21" s="58"/>
      <c r="M21" s="344"/>
      <c r="N21" s="59"/>
      <c r="O21" s="344"/>
    </row>
    <row r="22" spans="2:15" ht="12" customHeight="1" hidden="1">
      <c r="B22" s="378">
        <f t="shared" si="0"/>
        <v>14</v>
      </c>
      <c r="C22" s="46"/>
      <c r="D22" s="46" t="s">
        <v>4</v>
      </c>
      <c r="E22" s="47" t="s">
        <v>22</v>
      </c>
      <c r="F22" s="47"/>
      <c r="G22" s="238"/>
      <c r="H22" s="674"/>
      <c r="I22" s="47"/>
      <c r="J22" s="483"/>
      <c r="K22" s="676"/>
      <c r="M22" s="344"/>
      <c r="N22" s="59"/>
      <c r="O22" s="344"/>
    </row>
    <row r="23" spans="2:15" ht="12" customHeight="1" hidden="1">
      <c r="B23" s="378">
        <f t="shared" si="0"/>
        <v>15</v>
      </c>
      <c r="C23" s="46"/>
      <c r="D23" s="46" t="s">
        <v>4</v>
      </c>
      <c r="E23" s="239" t="s">
        <v>23</v>
      </c>
      <c r="F23" s="47"/>
      <c r="G23" s="238"/>
      <c r="H23" s="674"/>
      <c r="I23" s="47"/>
      <c r="J23" s="483"/>
      <c r="K23" s="676"/>
      <c r="M23" s="344"/>
      <c r="N23" s="59"/>
      <c r="O23" s="344"/>
    </row>
    <row r="24" spans="2:15" ht="12" customHeight="1" hidden="1">
      <c r="B24" s="379">
        <f>B22+1</f>
        <v>15</v>
      </c>
      <c r="C24" s="61"/>
      <c r="D24" s="61" t="s">
        <v>4</v>
      </c>
      <c r="E24" s="675"/>
      <c r="F24" s="346"/>
      <c r="G24" s="385"/>
      <c r="H24" s="675"/>
      <c r="I24" s="346"/>
      <c r="J24" s="484"/>
      <c r="K24" s="677"/>
      <c r="M24" s="344"/>
      <c r="N24" s="59"/>
      <c r="O24" s="344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5"/>
      <c r="N25" s="66"/>
      <c r="O25" s="59"/>
      <c r="P25" s="66"/>
    </row>
    <row r="26" spans="2:16" ht="19.5" customHeight="1" thickBot="1">
      <c r="B26" s="375">
        <f>B20+1</f>
        <v>13</v>
      </c>
      <c r="C26" s="67" t="s">
        <v>24</v>
      </c>
      <c r="D26" s="67"/>
      <c r="E26" s="67"/>
      <c r="F26" s="21"/>
      <c r="G26" s="22"/>
      <c r="H26" s="22"/>
      <c r="I26" s="22"/>
      <c r="J26" s="21"/>
      <c r="K26" s="23"/>
      <c r="L26" s="24"/>
      <c r="M26" s="68">
        <f>M9+M14</f>
        <v>2618.3733333333334</v>
      </c>
      <c r="N26" s="69"/>
      <c r="O26" s="68">
        <f>O9+O14</f>
        <v>3740.5333333333338</v>
      </c>
      <c r="P26" s="6"/>
    </row>
    <row r="27" spans="2:7" ht="9" customHeight="1">
      <c r="B27" s="70"/>
      <c r="C27" s="30"/>
      <c r="D27" s="30"/>
      <c r="E27" s="30"/>
      <c r="F27" s="71"/>
      <c r="G27" s="71"/>
    </row>
    <row r="28" spans="2:16" ht="18" customHeight="1">
      <c r="B28" s="380">
        <f>B26+1</f>
        <v>14</v>
      </c>
      <c r="C28" s="72" t="s">
        <v>25</v>
      </c>
      <c r="D28" s="72"/>
      <c r="E28" s="73"/>
      <c r="F28" s="74"/>
      <c r="G28" s="75"/>
      <c r="H28" s="76"/>
      <c r="I28" s="428" t="s">
        <v>245</v>
      </c>
      <c r="J28" s="429" t="s">
        <v>198</v>
      </c>
      <c r="K28" s="430" t="s">
        <v>174</v>
      </c>
      <c r="M28" s="682">
        <f>K29</f>
        <v>583.3333333333333</v>
      </c>
      <c r="N28" s="678"/>
      <c r="O28" s="685">
        <f>M28/$I$10</f>
        <v>833.3333333333333</v>
      </c>
      <c r="P28" s="6"/>
    </row>
    <row r="29" spans="2:16" ht="12" customHeight="1">
      <c r="B29" s="379">
        <f aca="true" t="shared" si="1" ref="B29:B54">B28+1</f>
        <v>15</v>
      </c>
      <c r="C29" s="61"/>
      <c r="D29" s="61"/>
      <c r="E29" s="62" t="s">
        <v>26</v>
      </c>
      <c r="F29" s="386"/>
      <c r="G29" s="387"/>
      <c r="H29" s="388"/>
      <c r="I29" s="779">
        <f>I11</f>
        <v>0.08333333333333333</v>
      </c>
      <c r="J29" s="775">
        <v>7000</v>
      </c>
      <c r="K29" s="78">
        <f>I29*J29</f>
        <v>583.3333333333333</v>
      </c>
      <c r="M29" s="8"/>
      <c r="N29" s="8"/>
      <c r="O29" s="8"/>
      <c r="P29" s="6"/>
    </row>
    <row r="30" spans="2:16" ht="18" customHeight="1">
      <c r="B30" s="378">
        <f t="shared" si="1"/>
        <v>16</v>
      </c>
      <c r="C30" s="79" t="s">
        <v>27</v>
      </c>
      <c r="D30" s="79"/>
      <c r="E30" s="47"/>
      <c r="F30" s="43"/>
      <c r="G30" s="80"/>
      <c r="H30" s="431" t="s">
        <v>28</v>
      </c>
      <c r="I30" s="432" t="s">
        <v>181</v>
      </c>
      <c r="J30" s="433" t="s">
        <v>29</v>
      </c>
      <c r="K30" s="434" t="s">
        <v>30</v>
      </c>
      <c r="M30" s="683">
        <f>J31+K31</f>
        <v>40</v>
      </c>
      <c r="N30" s="345"/>
      <c r="O30" s="685">
        <f>M30/$I$10</f>
        <v>57.142857142857146</v>
      </c>
      <c r="P30" s="6"/>
    </row>
    <row r="31" spans="2:16" ht="12" customHeight="1">
      <c r="B31" s="378">
        <f t="shared" si="1"/>
        <v>17</v>
      </c>
      <c r="C31" s="30"/>
      <c r="D31" s="30"/>
      <c r="E31" s="54" t="s">
        <v>196</v>
      </c>
      <c r="F31" s="389"/>
      <c r="G31" s="390"/>
      <c r="H31" s="81">
        <v>1.6</v>
      </c>
      <c r="I31" s="82">
        <v>25</v>
      </c>
      <c r="J31" s="369">
        <f>H31*I31</f>
        <v>40</v>
      </c>
      <c r="K31" s="83"/>
      <c r="M31" s="8"/>
      <c r="N31" s="8"/>
      <c r="O31" s="8"/>
      <c r="P31" s="6"/>
    </row>
    <row r="32" spans="2:16" ht="24">
      <c r="B32" s="380">
        <f t="shared" si="1"/>
        <v>18</v>
      </c>
      <c r="C32" s="84" t="s">
        <v>206</v>
      </c>
      <c r="D32" s="84"/>
      <c r="E32" s="85"/>
      <c r="F32" s="28"/>
      <c r="G32" s="435" t="s">
        <v>31</v>
      </c>
      <c r="H32" s="437" t="s">
        <v>32</v>
      </c>
      <c r="I32" s="436" t="str">
        <f>VLOOKUP(Stammdaten!C27,Stammdaten!B28:C35,2)</f>
        <v>10 MJ DE</v>
      </c>
      <c r="J32" s="410"/>
      <c r="K32" s="87"/>
      <c r="M32" s="682">
        <f>K43</f>
        <v>762.7</v>
      </c>
      <c r="N32" s="678"/>
      <c r="O32" s="685">
        <f>M32/$I$10</f>
        <v>1089.5714285714287</v>
      </c>
      <c r="P32" s="6"/>
    </row>
    <row r="33" spans="2:20" ht="12" customHeight="1">
      <c r="B33" s="378">
        <f t="shared" si="1"/>
        <v>19</v>
      </c>
      <c r="C33" s="692" t="s">
        <v>210</v>
      </c>
      <c r="D33" s="88"/>
      <c r="E33" s="65"/>
      <c r="F33" s="30"/>
      <c r="G33" s="86" t="s">
        <v>33</v>
      </c>
      <c r="H33" s="89" t="s">
        <v>34</v>
      </c>
      <c r="I33" s="90" t="s">
        <v>35</v>
      </c>
      <c r="J33" s="86" t="s">
        <v>182</v>
      </c>
      <c r="K33" s="438" t="s">
        <v>174</v>
      </c>
      <c r="M33" s="347"/>
      <c r="N33" s="345"/>
      <c r="O33" s="345"/>
      <c r="P33" s="6"/>
      <c r="S33"/>
      <c r="T33"/>
    </row>
    <row r="34" spans="2:20" ht="12" customHeight="1">
      <c r="B34" s="378">
        <f t="shared" si="1"/>
        <v>20</v>
      </c>
      <c r="C34" s="46"/>
      <c r="D34" s="46" t="s">
        <v>4</v>
      </c>
      <c r="E34" s="91" t="s">
        <v>36</v>
      </c>
      <c r="F34" s="91"/>
      <c r="G34" s="92">
        <v>740</v>
      </c>
      <c r="H34" s="93"/>
      <c r="I34" s="94">
        <f>G34*H34</f>
        <v>0</v>
      </c>
      <c r="J34" s="93">
        <v>0.18</v>
      </c>
      <c r="K34" s="95">
        <f aca="true" t="shared" si="2" ref="K34:K42">G34*J34</f>
        <v>133.2</v>
      </c>
      <c r="M34" s="8"/>
      <c r="N34" s="8"/>
      <c r="O34" s="8"/>
      <c r="P34" s="6"/>
      <c r="S34"/>
      <c r="T34"/>
    </row>
    <row r="35" spans="2:20" ht="12" customHeight="1">
      <c r="B35" s="378">
        <f t="shared" si="1"/>
        <v>21</v>
      </c>
      <c r="C35" s="46"/>
      <c r="D35" s="46" t="s">
        <v>4</v>
      </c>
      <c r="E35" s="53" t="s">
        <v>37</v>
      </c>
      <c r="F35" s="47"/>
      <c r="G35" s="96">
        <v>570</v>
      </c>
      <c r="H35" s="93"/>
      <c r="I35" s="94">
        <f aca="true" t="shared" si="3" ref="I35:I42">G35*H35</f>
        <v>0</v>
      </c>
      <c r="J35" s="93">
        <v>0.25</v>
      </c>
      <c r="K35" s="95">
        <f t="shared" si="2"/>
        <v>142.5</v>
      </c>
      <c r="M35" s="8"/>
      <c r="N35" s="8"/>
      <c r="O35" s="8"/>
      <c r="P35" s="6"/>
      <c r="S35"/>
      <c r="T35"/>
    </row>
    <row r="36" spans="2:20" ht="12" customHeight="1">
      <c r="B36" s="378">
        <f t="shared" si="1"/>
        <v>22</v>
      </c>
      <c r="C36" s="46"/>
      <c r="D36" s="46" t="s">
        <v>4</v>
      </c>
      <c r="E36" s="53" t="s">
        <v>207</v>
      </c>
      <c r="F36" s="47"/>
      <c r="G36" s="96">
        <v>400</v>
      </c>
      <c r="H36" s="93"/>
      <c r="I36" s="94">
        <f t="shared" si="3"/>
        <v>0</v>
      </c>
      <c r="J36" s="93">
        <v>0.35</v>
      </c>
      <c r="K36" s="95">
        <f t="shared" si="2"/>
        <v>140</v>
      </c>
      <c r="M36" s="8"/>
      <c r="N36" s="8"/>
      <c r="O36" s="8"/>
      <c r="P36" s="6"/>
      <c r="S36"/>
      <c r="T36"/>
    </row>
    <row r="37" spans="2:20" ht="12" customHeight="1">
      <c r="B37" s="378">
        <f t="shared" si="1"/>
        <v>23</v>
      </c>
      <c r="C37" s="46"/>
      <c r="D37" s="46" t="s">
        <v>4</v>
      </c>
      <c r="E37" s="53" t="s">
        <v>208</v>
      </c>
      <c r="F37" s="47"/>
      <c r="G37" s="96">
        <v>60</v>
      </c>
      <c r="H37" s="93"/>
      <c r="I37" s="94">
        <f t="shared" si="3"/>
        <v>0</v>
      </c>
      <c r="J37" s="93">
        <v>0.5</v>
      </c>
      <c r="K37" s="95">
        <f t="shared" si="2"/>
        <v>30</v>
      </c>
      <c r="M37" s="8"/>
      <c r="N37" s="8"/>
      <c r="O37" s="8"/>
      <c r="P37" s="6"/>
      <c r="S37"/>
      <c r="T37"/>
    </row>
    <row r="38" spans="2:20" ht="12" customHeight="1">
      <c r="B38" s="378">
        <f t="shared" si="1"/>
        <v>24</v>
      </c>
      <c r="C38" s="46"/>
      <c r="D38" s="46" t="s">
        <v>4</v>
      </c>
      <c r="E38" s="53" t="s">
        <v>209</v>
      </c>
      <c r="F38" s="47"/>
      <c r="G38" s="96">
        <v>1200</v>
      </c>
      <c r="H38" s="93"/>
      <c r="I38" s="94">
        <f t="shared" si="3"/>
        <v>0</v>
      </c>
      <c r="J38" s="93">
        <v>0.15</v>
      </c>
      <c r="K38" s="95">
        <f t="shared" si="2"/>
        <v>180</v>
      </c>
      <c r="M38" s="8"/>
      <c r="N38" s="8"/>
      <c r="O38" s="8"/>
      <c r="P38" s="6"/>
      <c r="S38"/>
      <c r="T38"/>
    </row>
    <row r="39" spans="2:20" ht="12" customHeight="1">
      <c r="B39" s="378">
        <f t="shared" si="1"/>
        <v>25</v>
      </c>
      <c r="C39" s="46"/>
      <c r="D39" s="46" t="s">
        <v>4</v>
      </c>
      <c r="E39" s="53" t="s">
        <v>201</v>
      </c>
      <c r="F39" s="47"/>
      <c r="G39" s="96">
        <v>3000</v>
      </c>
      <c r="H39" s="93"/>
      <c r="I39" s="94">
        <f t="shared" si="3"/>
        <v>0</v>
      </c>
      <c r="J39" s="97">
        <v>0.03</v>
      </c>
      <c r="K39" s="95">
        <f t="shared" si="2"/>
        <v>90</v>
      </c>
      <c r="M39" s="8"/>
      <c r="N39" s="8"/>
      <c r="O39" s="8"/>
      <c r="P39" s="6"/>
      <c r="S39"/>
      <c r="T39"/>
    </row>
    <row r="40" spans="2:20" ht="12" customHeight="1">
      <c r="B40" s="378">
        <f t="shared" si="1"/>
        <v>26</v>
      </c>
      <c r="C40" s="46"/>
      <c r="D40" s="46" t="s">
        <v>4</v>
      </c>
      <c r="E40" s="54"/>
      <c r="F40" s="8"/>
      <c r="G40" s="98"/>
      <c r="H40" s="93"/>
      <c r="I40" s="94">
        <f t="shared" si="3"/>
        <v>0</v>
      </c>
      <c r="J40" s="99"/>
      <c r="K40" s="95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78">
        <f t="shared" si="1"/>
        <v>27</v>
      </c>
      <c r="C41" s="46"/>
      <c r="D41" s="46" t="s">
        <v>4</v>
      </c>
      <c r="E41" s="38" t="s">
        <v>38</v>
      </c>
      <c r="F41" s="239"/>
      <c r="G41" s="92">
        <v>1</v>
      </c>
      <c r="H41" s="93"/>
      <c r="I41" s="94">
        <f t="shared" si="3"/>
        <v>0</v>
      </c>
      <c r="J41" s="39">
        <v>10</v>
      </c>
      <c r="K41" s="95">
        <f t="shared" si="2"/>
        <v>10</v>
      </c>
      <c r="M41" s="8"/>
      <c r="N41" s="8"/>
      <c r="O41" s="8"/>
      <c r="P41" s="6"/>
      <c r="S41"/>
      <c r="T41"/>
    </row>
    <row r="42" spans="2:20" ht="12" customHeight="1">
      <c r="B42" s="378">
        <f t="shared" si="1"/>
        <v>28</v>
      </c>
      <c r="C42" s="46"/>
      <c r="D42" s="30" t="s">
        <v>4</v>
      </c>
      <c r="E42" s="54" t="s">
        <v>39</v>
      </c>
      <c r="F42" s="8"/>
      <c r="G42" s="98">
        <v>37</v>
      </c>
      <c r="H42" s="81"/>
      <c r="I42" s="94">
        <f t="shared" si="3"/>
        <v>0</v>
      </c>
      <c r="J42" s="99">
        <v>1</v>
      </c>
      <c r="K42" s="95">
        <f t="shared" si="2"/>
        <v>37</v>
      </c>
      <c r="M42" s="8"/>
      <c r="N42" s="8"/>
      <c r="O42" s="8"/>
      <c r="P42" s="6"/>
      <c r="S42"/>
      <c r="T42"/>
    </row>
    <row r="43" spans="2:20" ht="12" customHeight="1">
      <c r="B43" s="375">
        <f t="shared" si="1"/>
        <v>29</v>
      </c>
      <c r="C43" s="28"/>
      <c r="D43" s="28"/>
      <c r="E43" s="100" t="s">
        <v>40</v>
      </c>
      <c r="F43" s="100"/>
      <c r="G43" s="485"/>
      <c r="H43" s="485"/>
      <c r="I43" s="101">
        <f>I34+I35+I40+I41+I42</f>
        <v>0</v>
      </c>
      <c r="J43" s="486"/>
      <c r="K43" s="102">
        <f>SUM(K34:K42)</f>
        <v>762.7</v>
      </c>
      <c r="M43" s="8"/>
      <c r="N43" s="8"/>
      <c r="O43" s="8"/>
      <c r="P43" s="6"/>
      <c r="S43"/>
      <c r="T43"/>
    </row>
    <row r="44" spans="2:20" ht="18" customHeight="1">
      <c r="B44" s="378">
        <f t="shared" si="1"/>
        <v>30</v>
      </c>
      <c r="C44" s="103" t="s">
        <v>41</v>
      </c>
      <c r="D44" s="103"/>
      <c r="E44" s="26"/>
      <c r="F44" s="74"/>
      <c r="G44" s="74"/>
      <c r="H44" s="104"/>
      <c r="I44" s="487"/>
      <c r="J44" s="487"/>
      <c r="K44" s="488"/>
      <c r="L44" s="6"/>
      <c r="M44" s="684">
        <f>K45+K46+K47+K48+K49+K50+K51</f>
        <v>1430</v>
      </c>
      <c r="N44" s="679"/>
      <c r="O44" s="685">
        <f>M44/$I$10</f>
        <v>2042.857142857143</v>
      </c>
      <c r="P44" s="6"/>
      <c r="S44"/>
      <c r="T44"/>
    </row>
    <row r="45" spans="2:16" ht="12" customHeight="1">
      <c r="B45" s="378">
        <f t="shared" si="1"/>
        <v>31</v>
      </c>
      <c r="C45" s="46"/>
      <c r="D45" s="46" t="s">
        <v>4</v>
      </c>
      <c r="E45" s="5" t="s">
        <v>203</v>
      </c>
      <c r="G45" s="105"/>
      <c r="H45" s="106"/>
      <c r="I45" s="489"/>
      <c r="J45" s="489"/>
      <c r="K45" s="83">
        <v>500</v>
      </c>
      <c r="L45" s="6"/>
      <c r="M45" s="8"/>
      <c r="N45" s="8"/>
      <c r="O45" s="8"/>
      <c r="P45" s="6"/>
    </row>
    <row r="46" spans="2:16" ht="12" customHeight="1">
      <c r="B46" s="378">
        <f t="shared" si="1"/>
        <v>32</v>
      </c>
      <c r="C46" s="46"/>
      <c r="D46" s="46" t="s">
        <v>4</v>
      </c>
      <c r="E46" s="32" t="s">
        <v>42</v>
      </c>
      <c r="F46" s="32"/>
      <c r="G46" s="107"/>
      <c r="H46" s="108"/>
      <c r="I46" s="489"/>
      <c r="J46" s="489"/>
      <c r="K46" s="109">
        <v>50</v>
      </c>
      <c r="L46" s="6"/>
      <c r="M46" s="8"/>
      <c r="N46" s="8"/>
      <c r="O46" s="8"/>
      <c r="P46" s="6"/>
    </row>
    <row r="47" spans="2:16" ht="12" customHeight="1">
      <c r="B47" s="378">
        <f t="shared" si="1"/>
        <v>33</v>
      </c>
      <c r="C47" s="46"/>
      <c r="D47" s="46" t="s">
        <v>4</v>
      </c>
      <c r="E47" s="5" t="s">
        <v>43</v>
      </c>
      <c r="G47" s="105"/>
      <c r="H47" s="106"/>
      <c r="I47" s="489"/>
      <c r="J47" s="489"/>
      <c r="K47" s="83">
        <v>500</v>
      </c>
      <c r="L47" s="6"/>
      <c r="M47" s="8"/>
      <c r="N47" s="8"/>
      <c r="O47" s="8"/>
      <c r="P47" s="6"/>
    </row>
    <row r="48" spans="2:16" ht="12" customHeight="1">
      <c r="B48" s="378">
        <f t="shared" si="1"/>
        <v>34</v>
      </c>
      <c r="C48" s="46"/>
      <c r="D48" s="46" t="s">
        <v>4</v>
      </c>
      <c r="E48" s="32" t="s">
        <v>44</v>
      </c>
      <c r="F48" s="32"/>
      <c r="G48" s="107"/>
      <c r="H48" s="108"/>
      <c r="I48" s="489"/>
      <c r="J48" s="489"/>
      <c r="K48" s="109">
        <v>40</v>
      </c>
      <c r="L48" s="6"/>
      <c r="M48" s="8"/>
      <c r="N48" s="8"/>
      <c r="O48" s="8"/>
      <c r="P48" s="6"/>
    </row>
    <row r="49" spans="2:16" ht="12" customHeight="1">
      <c r="B49" s="378">
        <f t="shared" si="1"/>
        <v>35</v>
      </c>
      <c r="C49" s="46"/>
      <c r="D49" s="46" t="s">
        <v>4</v>
      </c>
      <c r="E49" s="5" t="s">
        <v>204</v>
      </c>
      <c r="G49" s="105"/>
      <c r="H49" s="106"/>
      <c r="I49" s="489"/>
      <c r="J49" s="489"/>
      <c r="K49" s="83">
        <v>60</v>
      </c>
      <c r="L49" s="6"/>
      <c r="M49" s="8"/>
      <c r="N49" s="8"/>
      <c r="O49" s="8"/>
      <c r="P49" s="6"/>
    </row>
    <row r="50" spans="2:16" ht="12" customHeight="1">
      <c r="B50" s="378">
        <f t="shared" si="1"/>
        <v>36</v>
      </c>
      <c r="C50" s="46"/>
      <c r="D50" s="46" t="s">
        <v>4</v>
      </c>
      <c r="E50" s="32" t="s">
        <v>190</v>
      </c>
      <c r="F50" s="32"/>
      <c r="G50" s="107"/>
      <c r="H50" s="108"/>
      <c r="I50" s="489"/>
      <c r="J50" s="489"/>
      <c r="K50" s="109">
        <v>100</v>
      </c>
      <c r="L50" s="6"/>
      <c r="M50" s="8"/>
      <c r="N50" s="8"/>
      <c r="O50" s="8"/>
      <c r="P50" s="6"/>
    </row>
    <row r="51" spans="2:16" ht="12" customHeight="1">
      <c r="B51" s="378">
        <f t="shared" si="1"/>
        <v>37</v>
      </c>
      <c r="C51" s="30"/>
      <c r="D51" s="30" t="s">
        <v>4</v>
      </c>
      <c r="E51" s="62" t="s">
        <v>211</v>
      </c>
      <c r="F51" s="346"/>
      <c r="G51" s="346"/>
      <c r="H51" s="385"/>
      <c r="I51" s="490"/>
      <c r="J51" s="490"/>
      <c r="K51" s="64">
        <v>180</v>
      </c>
      <c r="L51" s="6"/>
      <c r="M51" s="8"/>
      <c r="N51" s="8"/>
      <c r="O51" s="8"/>
      <c r="P51" s="6"/>
    </row>
    <row r="52" spans="2:16" ht="18" customHeight="1">
      <c r="B52" s="375">
        <f t="shared" si="1"/>
        <v>38</v>
      </c>
      <c r="C52" s="55" t="s">
        <v>45</v>
      </c>
      <c r="D52" s="55"/>
      <c r="E52" s="56"/>
      <c r="F52" s="21"/>
      <c r="G52" s="21"/>
      <c r="H52" s="439" t="s">
        <v>46</v>
      </c>
      <c r="I52" s="110"/>
      <c r="J52" s="439" t="s">
        <v>178</v>
      </c>
      <c r="K52" s="754"/>
      <c r="M52" s="686">
        <f>I52*K52</f>
        <v>0</v>
      </c>
      <c r="N52" s="680"/>
      <c r="O52" s="685">
        <f>M52/$I$10</f>
        <v>0</v>
      </c>
      <c r="P52" s="6"/>
    </row>
    <row r="53" spans="2:16" ht="18" customHeight="1">
      <c r="B53" s="378">
        <f t="shared" si="1"/>
        <v>39</v>
      </c>
      <c r="C53" s="111" t="s">
        <v>47</v>
      </c>
      <c r="D53" s="112"/>
      <c r="E53" s="112"/>
      <c r="F53" s="635" t="s">
        <v>48</v>
      </c>
      <c r="G53" s="113">
        <v>6</v>
      </c>
      <c r="H53" s="114"/>
      <c r="I53" s="115" t="s">
        <v>49</v>
      </c>
      <c r="J53" s="116">
        <f>IF(S5=0,12,IF(S5&gt;=0,12/S5))</f>
        <v>12</v>
      </c>
      <c r="K53" s="117" t="s">
        <v>50</v>
      </c>
      <c r="M53" s="118">
        <f>J54*J53/12*G53/100</f>
        <v>303.3372</v>
      </c>
      <c r="N53" s="681"/>
      <c r="O53" s="685">
        <f>M53/$I$10</f>
        <v>433.33885714285714</v>
      </c>
      <c r="P53" s="6"/>
    </row>
    <row r="54" spans="2:16" ht="12" customHeight="1">
      <c r="B54" s="379">
        <f t="shared" si="1"/>
        <v>40</v>
      </c>
      <c r="C54" s="61"/>
      <c r="D54" s="119" t="s">
        <v>238</v>
      </c>
      <c r="E54" s="119"/>
      <c r="F54" s="165"/>
      <c r="G54" s="165"/>
      <c r="H54" s="119"/>
      <c r="I54" s="120"/>
      <c r="J54" s="760">
        <f>(J29+J11)/2+M30+(M32+M44)*0.6</f>
        <v>5055.62</v>
      </c>
      <c r="K54" s="121" t="s">
        <v>179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75">
        <f>B54+1</f>
        <v>41</v>
      </c>
      <c r="C56" s="67" t="s">
        <v>51</v>
      </c>
      <c r="D56" s="67"/>
      <c r="E56" s="67"/>
      <c r="F56" s="21"/>
      <c r="G56" s="122"/>
      <c r="H56" s="122"/>
      <c r="I56" s="123"/>
      <c r="J56" s="339"/>
      <c r="K56" s="23"/>
      <c r="L56" s="24"/>
      <c r="M56" s="124">
        <f>M28+M30+M32+M44+M52+M53</f>
        <v>3119.3705333333332</v>
      </c>
      <c r="N56" s="125">
        <f>SUM(N28:N52)</f>
        <v>0</v>
      </c>
      <c r="O56" s="124">
        <f>O28+O30+O32+O44+O52+O53</f>
        <v>4456.243619047619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81">
        <f>B56+1</f>
        <v>42</v>
      </c>
      <c r="C58" s="126" t="s">
        <v>52</v>
      </c>
      <c r="D58" s="126"/>
      <c r="E58" s="262"/>
      <c r="F58" s="127"/>
      <c r="G58" s="128"/>
      <c r="H58" s="129"/>
      <c r="I58" s="130"/>
      <c r="J58" s="131"/>
      <c r="K58" s="132"/>
      <c r="L58" s="24"/>
      <c r="M58" s="656">
        <f>M26-M56</f>
        <v>-500.9971999999998</v>
      </c>
      <c r="O58" s="657">
        <f>O26-O56</f>
        <v>-715.7102857142854</v>
      </c>
      <c r="P58" s="6"/>
    </row>
    <row r="59" spans="2:16" ht="10.5" customHeight="1" thickTop="1">
      <c r="B59" s="133"/>
      <c r="C59" s="6"/>
      <c r="D59" s="6"/>
      <c r="E59" s="6"/>
      <c r="F59" s="134"/>
      <c r="G59" s="134"/>
      <c r="H59" s="134"/>
      <c r="I59" s="134"/>
      <c r="J59" s="134"/>
      <c r="K59" s="134"/>
      <c r="L59" s="134"/>
      <c r="M59" s="134"/>
      <c r="N59" s="134"/>
      <c r="P59" s="30"/>
    </row>
    <row r="60" spans="2:16" ht="17.25" customHeight="1">
      <c r="B60" s="382">
        <f>B58+1</f>
        <v>43</v>
      </c>
      <c r="C60" s="135" t="s">
        <v>53</v>
      </c>
      <c r="D60" s="135"/>
      <c r="E60" s="136"/>
      <c r="F60" s="137"/>
      <c r="G60" s="138"/>
      <c r="H60" s="139"/>
      <c r="I60" s="356"/>
      <c r="J60" s="137"/>
      <c r="K60" s="23" t="s">
        <v>54</v>
      </c>
      <c r="L60" s="140"/>
      <c r="M60" s="141">
        <f>IF('Seite 2'!G21&gt;0,'Seite 2'!G21,'Seite 1 '!I60)</f>
        <v>90.25</v>
      </c>
      <c r="N60" s="263"/>
      <c r="O60" s="264"/>
      <c r="P60" s="30"/>
    </row>
    <row r="61" spans="2:16" ht="9" customHeight="1">
      <c r="B61" s="491"/>
      <c r="C61" s="492"/>
      <c r="D61" s="492"/>
      <c r="E61" s="493"/>
      <c r="F61" s="494"/>
      <c r="G61" s="495"/>
      <c r="H61" s="496"/>
      <c r="I61" s="527"/>
      <c r="J61" s="494"/>
      <c r="K61" s="497"/>
      <c r="L61" s="140"/>
      <c r="M61" s="498"/>
      <c r="N61" s="499"/>
      <c r="O61" s="500"/>
      <c r="P61" s="30"/>
    </row>
    <row r="62" spans="2:16" ht="10.5" customHeight="1">
      <c r="B62" s="491"/>
      <c r="C62" s="492"/>
      <c r="D62" s="492"/>
      <c r="E62" s="493"/>
      <c r="F62" s="494"/>
      <c r="G62" s="495"/>
      <c r="H62" s="496"/>
      <c r="I62" s="527"/>
      <c r="J62" s="494"/>
      <c r="K62" s="497"/>
      <c r="L62" s="140"/>
      <c r="M62" s="785"/>
      <c r="N62" s="785"/>
      <c r="O62" s="785"/>
      <c r="P62" s="30"/>
    </row>
    <row r="63" s="1" customFormat="1" ht="6.75" customHeight="1">
      <c r="O63" s="258"/>
    </row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8.75" customHeight="1"/>
    <row r="76" s="1" customFormat="1" ht="15" customHeight="1"/>
  </sheetData>
  <sheetProtection sheet="1" objects="1" scenarios="1"/>
  <mergeCells count="4">
    <mergeCell ref="I2:O2"/>
    <mergeCell ref="M62:O62"/>
    <mergeCell ref="G5:H5"/>
    <mergeCell ref="B5:E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horizontalDpi="300" verticalDpi="300" orientation="portrait" paperSize="9" scale="91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J6" sqref="J6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9.140625" style="5" bestFit="1" customWidth="1"/>
    <col min="14" max="14" width="2.7109375" style="5" customWidth="1"/>
    <col min="15" max="15" width="11.0039062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42"/>
      <c r="E1" s="143"/>
    </row>
    <row r="2" spans="2:16" ht="23.25">
      <c r="B2" s="413" t="s">
        <v>0</v>
      </c>
      <c r="C2" s="4"/>
      <c r="D2" s="4"/>
      <c r="H2"/>
      <c r="I2" s="790" t="str">
        <f>'Seite 1 '!I2</f>
        <v>Zuchtstute m. Fohlen bis 5 Monate</v>
      </c>
      <c r="J2" s="791"/>
      <c r="K2" s="791"/>
      <c r="L2" s="791"/>
      <c r="M2" s="791"/>
      <c r="N2" s="791"/>
      <c r="O2" s="792"/>
      <c r="P2" s="6"/>
    </row>
    <row r="3" spans="2:15" ht="15">
      <c r="B3" s="417" t="str">
        <f>'Seite 1 '!B3</f>
        <v> - Produktionsverfahren Zuchtstutenhaltung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752" t="s">
        <v>2</v>
      </c>
      <c r="C5" s="414"/>
      <c r="D5" s="414"/>
      <c r="E5" s="415"/>
      <c r="F5" s="144">
        <f>'Seite 1 '!F5</f>
        <v>5</v>
      </c>
      <c r="G5" s="793" t="s">
        <v>230</v>
      </c>
      <c r="H5" s="794"/>
      <c r="I5" s="145">
        <f>'Seite 1 '!I5</f>
        <v>12</v>
      </c>
      <c r="J5" s="753"/>
      <c r="K5" s="753"/>
      <c r="L5" s="753"/>
      <c r="M5" s="636"/>
      <c r="N5" s="8"/>
      <c r="O5" s="636"/>
    </row>
    <row r="6" spans="2:5" ht="12.75" customHeight="1">
      <c r="B6" s="142"/>
      <c r="E6" s="143"/>
    </row>
    <row r="7" spans="2:15" ht="21" customHeight="1" hidden="1">
      <c r="B7" s="375">
        <f>'Seite 1 '!B60+1</f>
        <v>44</v>
      </c>
      <c r="C7" s="146" t="s">
        <v>55</v>
      </c>
      <c r="D7" s="21"/>
      <c r="E7" s="147"/>
      <c r="F7" s="21"/>
      <c r="G7" s="21"/>
      <c r="H7" s="148"/>
      <c r="I7" s="148"/>
      <c r="J7" s="148"/>
      <c r="K7" s="149"/>
      <c r="L7" s="150"/>
      <c r="M7" s="151" t="str">
        <f>'Seite 1 '!I32</f>
        <v>10 MJ DE</v>
      </c>
      <c r="N7" s="152"/>
      <c r="O7" s="153"/>
    </row>
    <row r="8" spans="2:15" ht="18" customHeight="1" hidden="1">
      <c r="B8" s="378">
        <f>B7+1</f>
        <v>45</v>
      </c>
      <c r="C8" s="154" t="s">
        <v>56</v>
      </c>
      <c r="D8" s="46"/>
      <c r="E8" s="155"/>
      <c r="F8" s="46"/>
      <c r="G8" s="46"/>
      <c r="H8" s="156"/>
      <c r="I8" s="156"/>
      <c r="J8" s="156"/>
      <c r="K8" s="157"/>
      <c r="L8" s="6"/>
      <c r="M8" s="407">
        <v>22370</v>
      </c>
      <c r="N8" s="161"/>
      <c r="O8" s="162"/>
    </row>
    <row r="9" spans="2:15" ht="18" customHeight="1" hidden="1">
      <c r="B9" s="378">
        <f>B8+1</f>
        <v>46</v>
      </c>
      <c r="C9" s="154"/>
      <c r="D9" s="46" t="s">
        <v>57</v>
      </c>
      <c r="E9" s="155"/>
      <c r="F9" s="46"/>
      <c r="G9" s="46"/>
      <c r="H9" s="156"/>
      <c r="I9" s="156"/>
      <c r="J9" s="156"/>
      <c r="K9" s="157">
        <f>K8</f>
        <v>0</v>
      </c>
      <c r="L9" s="6"/>
      <c r="M9" s="408">
        <f>'Seite 1 '!I43</f>
        <v>0</v>
      </c>
      <c r="N9" s="158"/>
      <c r="O9" s="159"/>
    </row>
    <row r="10" spans="2:16" ht="18" customHeight="1" hidden="1">
      <c r="B10" s="378">
        <f>B9+1</f>
        <v>47</v>
      </c>
      <c r="C10" s="154"/>
      <c r="D10" s="46" t="s">
        <v>58</v>
      </c>
      <c r="E10" s="155"/>
      <c r="F10" s="46"/>
      <c r="G10" s="156"/>
      <c r="H10" s="349" t="str">
        <f>IF(M8&gt;0,"(="&amp;" "&amp;ROUND(P10,0)&amp;" "&amp;M7&amp;" +","")</f>
        <v>(= 22370 10 MJ DE +</v>
      </c>
      <c r="I10" s="357">
        <v>13</v>
      </c>
      <c r="J10" s="160" t="s">
        <v>59</v>
      </c>
      <c r="K10" s="157"/>
      <c r="L10" s="6"/>
      <c r="M10" s="408">
        <f>P10/(100-I10)*100</f>
        <v>25712.64367816092</v>
      </c>
      <c r="N10" s="161"/>
      <c r="O10" s="162"/>
      <c r="P10" s="333">
        <f>M8-M9</f>
        <v>22370</v>
      </c>
    </row>
    <row r="11" spans="2:15" ht="18" customHeight="1" hidden="1">
      <c r="B11" s="379">
        <f>B10+1</f>
        <v>48</v>
      </c>
      <c r="C11" s="163"/>
      <c r="D11" s="164"/>
      <c r="E11" s="164" t="s">
        <v>60</v>
      </c>
      <c r="F11" s="61"/>
      <c r="G11" s="165"/>
      <c r="H11" s="166"/>
      <c r="I11" s="167"/>
      <c r="J11" s="168" t="s">
        <v>61</v>
      </c>
      <c r="K11" s="358">
        <v>0</v>
      </c>
      <c r="L11" s="6"/>
      <c r="M11" s="409">
        <f>M10*K11/365</f>
        <v>0</v>
      </c>
      <c r="N11" s="169"/>
      <c r="O11" s="170"/>
    </row>
    <row r="12" spans="2:15" ht="15.75" customHeight="1">
      <c r="B12" s="142"/>
      <c r="C12" s="171"/>
      <c r="D12" s="171"/>
      <c r="E12" s="171"/>
      <c r="O12" s="9"/>
    </row>
    <row r="13" spans="2:15" ht="21" customHeight="1">
      <c r="B13" s="380">
        <f>'Seite 1 '!B60+1</f>
        <v>44</v>
      </c>
      <c r="C13" s="507" t="s">
        <v>62</v>
      </c>
      <c r="D13" s="74"/>
      <c r="E13" s="508"/>
      <c r="F13" s="74"/>
      <c r="G13" s="74"/>
      <c r="H13" s="509" t="s">
        <v>63</v>
      </c>
      <c r="I13" s="510"/>
      <c r="J13" s="510"/>
      <c r="K13" s="510"/>
      <c r="L13" s="510"/>
      <c r="M13" s="511"/>
      <c r="N13" s="512"/>
      <c r="O13" s="513"/>
    </row>
    <row r="14" spans="2:15" ht="22.5" customHeight="1">
      <c r="B14" s="379">
        <f aca="true" t="shared" si="0" ref="B14:B21">B13+1</f>
        <v>45</v>
      </c>
      <c r="C14" s="514"/>
      <c r="D14" s="515"/>
      <c r="E14" s="515"/>
      <c r="F14" s="490"/>
      <c r="G14" s="516" t="s">
        <v>64</v>
      </c>
      <c r="H14" s="517" t="s">
        <v>201</v>
      </c>
      <c r="I14" s="517" t="s">
        <v>205</v>
      </c>
      <c r="J14" s="517">
        <v>0</v>
      </c>
      <c r="K14" s="517">
        <v>0</v>
      </c>
      <c r="L14" s="518"/>
      <c r="M14" s="519"/>
      <c r="N14" s="520" t="s">
        <v>65</v>
      </c>
      <c r="O14" s="521"/>
    </row>
    <row r="15" spans="2:15" ht="18" customHeight="1">
      <c r="B15" s="378">
        <f t="shared" si="0"/>
        <v>46</v>
      </c>
      <c r="C15" s="798" t="s">
        <v>248</v>
      </c>
      <c r="D15" s="799"/>
      <c r="E15" s="799"/>
      <c r="F15" s="800"/>
      <c r="G15" s="781">
        <v>365</v>
      </c>
      <c r="H15" s="175">
        <v>180</v>
      </c>
      <c r="I15" s="175">
        <v>185</v>
      </c>
      <c r="J15" s="175">
        <v>0</v>
      </c>
      <c r="K15" s="175">
        <v>0</v>
      </c>
      <c r="L15" s="391"/>
      <c r="M15" s="176"/>
      <c r="N15" s="177"/>
      <c r="O15" s="178">
        <f>G15-H15-I15-J15-K15-M15</f>
        <v>0</v>
      </c>
    </row>
    <row r="16" spans="2:15" ht="18" customHeight="1">
      <c r="B16" s="378">
        <f t="shared" si="0"/>
        <v>47</v>
      </c>
      <c r="C16" s="172" t="s">
        <v>217</v>
      </c>
      <c r="D16" s="160"/>
      <c r="E16" s="173"/>
      <c r="F16" s="174"/>
      <c r="G16" s="179">
        <f>IF(G15=0,0,(H15*H16+I15*I16+J15*J16+K15*K16+M15*M16+O15*O16)/G15)</f>
        <v>11.547945205479452</v>
      </c>
      <c r="H16" s="180">
        <v>8</v>
      </c>
      <c r="I16" s="180">
        <v>15</v>
      </c>
      <c r="J16" s="180">
        <v>0</v>
      </c>
      <c r="K16" s="180">
        <v>0</v>
      </c>
      <c r="L16" s="392"/>
      <c r="M16" s="181"/>
      <c r="N16" s="392"/>
      <c r="O16" s="182"/>
    </row>
    <row r="17" spans="2:16" ht="18" customHeight="1">
      <c r="B17" s="378">
        <f t="shared" si="0"/>
        <v>48</v>
      </c>
      <c r="C17" s="160" t="s">
        <v>66</v>
      </c>
      <c r="D17" s="160"/>
      <c r="E17" s="160"/>
      <c r="F17" s="183"/>
      <c r="G17" s="51">
        <v>20</v>
      </c>
      <c r="H17" s="724">
        <v>0</v>
      </c>
      <c r="I17" s="724"/>
      <c r="J17" s="724"/>
      <c r="K17" s="724"/>
      <c r="L17" s="721"/>
      <c r="M17" s="724"/>
      <c r="N17" s="184"/>
      <c r="O17" s="185">
        <f>G17</f>
        <v>20</v>
      </c>
      <c r="P17" s="332">
        <f>G17*60/365</f>
        <v>3.287671232876712</v>
      </c>
    </row>
    <row r="18" spans="2:15" ht="18" customHeight="1">
      <c r="B18" s="379">
        <f t="shared" si="0"/>
        <v>49</v>
      </c>
      <c r="C18" s="164" t="s">
        <v>67</v>
      </c>
      <c r="D18" s="164"/>
      <c r="E18" s="164"/>
      <c r="F18" s="186"/>
      <c r="G18" s="187">
        <f>G16+P17</f>
        <v>14.835616438356166</v>
      </c>
      <c r="H18" s="722">
        <f>ROUND(IF(H15=0,0,H16+(H17*60/H15)),2)</f>
        <v>8</v>
      </c>
      <c r="I18" s="722">
        <f>ROUND(IF(I15=0,0,I16+(I17*60/I15)),2)</f>
        <v>15</v>
      </c>
      <c r="J18" s="722">
        <f>ROUND(IF(J15=0,0,J16+(J17*60/J15)),2)</f>
        <v>0</v>
      </c>
      <c r="K18" s="722">
        <f>ROUND(IF(K15=0,0,K16+(K17*60/K15)),2)</f>
        <v>0</v>
      </c>
      <c r="L18" s="722"/>
      <c r="M18" s="723">
        <f>ROUND(IF(M15=0,0,M16+(M17*60/M15)),2)</f>
        <v>0</v>
      </c>
      <c r="N18" s="188"/>
      <c r="O18" s="189">
        <f>IF(O15=0,0,O16+(O17*60/O15))</f>
        <v>0</v>
      </c>
    </row>
    <row r="19" spans="2:17" ht="18" customHeight="1">
      <c r="B19" s="375">
        <f t="shared" si="0"/>
        <v>50</v>
      </c>
      <c r="C19" s="190" t="s">
        <v>68</v>
      </c>
      <c r="D19" s="190"/>
      <c r="E19" s="190"/>
      <c r="F19" s="191"/>
      <c r="G19" s="743">
        <f>(G15*G16)/60+G17</f>
        <v>90.25</v>
      </c>
      <c r="H19" s="192">
        <f>H18/60*H15</f>
        <v>24</v>
      </c>
      <c r="I19" s="193">
        <f>I18/60*I15</f>
        <v>46.25</v>
      </c>
      <c r="J19" s="193">
        <f>J18/60*J15</f>
        <v>0</v>
      </c>
      <c r="K19" s="193">
        <f>K18/60*K15</f>
        <v>0</v>
      </c>
      <c r="L19" s="193"/>
      <c r="M19" s="192">
        <f>M18/60*M15</f>
        <v>0</v>
      </c>
      <c r="N19" s="193"/>
      <c r="O19" s="194">
        <f>SUM(O15:O18)</f>
        <v>20</v>
      </c>
      <c r="P19" s="199"/>
      <c r="Q19"/>
    </row>
    <row r="20" spans="2:16" ht="18" customHeight="1">
      <c r="B20" s="380">
        <f t="shared" si="0"/>
        <v>51</v>
      </c>
      <c r="C20" s="196" t="s">
        <v>69</v>
      </c>
      <c r="D20" s="196"/>
      <c r="E20" s="196"/>
      <c r="F20" s="197"/>
      <c r="G20" s="198">
        <f>'Seite 1 '!I52</f>
        <v>0</v>
      </c>
      <c r="H20" s="724">
        <v>0</v>
      </c>
      <c r="I20" s="724"/>
      <c r="J20" s="724"/>
      <c r="K20" s="724"/>
      <c r="L20" s="721"/>
      <c r="M20" s="724"/>
      <c r="N20" s="184"/>
      <c r="O20" s="185">
        <f>G20</f>
        <v>0</v>
      </c>
      <c r="P20" s="199"/>
    </row>
    <row r="21" spans="2:17" ht="18" customHeight="1">
      <c r="B21" s="688">
        <f t="shared" si="0"/>
        <v>52</v>
      </c>
      <c r="C21" s="735" t="s">
        <v>70</v>
      </c>
      <c r="D21" s="736"/>
      <c r="E21" s="736"/>
      <c r="F21" s="737"/>
      <c r="G21" s="738">
        <f>G19-G20</f>
        <v>90.25</v>
      </c>
      <c r="H21" s="738">
        <f>H19-H20</f>
        <v>24</v>
      </c>
      <c r="I21" s="738">
        <f>I19-I20</f>
        <v>46.25</v>
      </c>
      <c r="J21" s="738">
        <f>J19-J20</f>
        <v>0</v>
      </c>
      <c r="K21" s="738">
        <f>K19-K20</f>
        <v>0</v>
      </c>
      <c r="L21" s="738"/>
      <c r="M21" s="739">
        <f>M19-M20</f>
        <v>0</v>
      </c>
      <c r="N21" s="738"/>
      <c r="O21" s="740">
        <f>O19-O20</f>
        <v>20</v>
      </c>
      <c r="P21" s="199"/>
      <c r="Q21" s="195"/>
    </row>
    <row r="22" spans="2:15" ht="12.75" customHeight="1">
      <c r="B22" s="142"/>
      <c r="C22" s="200"/>
      <c r="D22" s="171"/>
      <c r="E22" s="171"/>
      <c r="O22" s="9"/>
    </row>
    <row r="23" spans="2:15" ht="21" customHeight="1">
      <c r="B23" s="375">
        <f>B21+1</f>
        <v>53</v>
      </c>
      <c r="C23" s="201" t="s">
        <v>71</v>
      </c>
      <c r="D23" s="55"/>
      <c r="E23" s="21"/>
      <c r="F23" s="21"/>
      <c r="G23" s="21"/>
      <c r="H23" s="202" t="s">
        <v>72</v>
      </c>
      <c r="I23" s="202" t="s">
        <v>73</v>
      </c>
      <c r="J23" s="21" t="s">
        <v>74</v>
      </c>
      <c r="K23" s="21"/>
      <c r="L23" s="21"/>
      <c r="M23" s="21"/>
      <c r="N23" s="21"/>
      <c r="O23" s="203"/>
    </row>
    <row r="24" spans="2:15" ht="18" customHeight="1">
      <c r="B24" s="378">
        <f>B23+1</f>
        <v>54</v>
      </c>
      <c r="C24" s="154" t="s">
        <v>232</v>
      </c>
      <c r="D24" s="46"/>
      <c r="E24" s="46"/>
      <c r="F24" s="46"/>
      <c r="G24" s="46"/>
      <c r="H24" s="204" t="s">
        <v>233</v>
      </c>
      <c r="I24" s="204" t="s">
        <v>183</v>
      </c>
      <c r="J24" s="53"/>
      <c r="K24" s="47"/>
      <c r="L24" s="47"/>
      <c r="M24" s="47"/>
      <c r="N24" s="47"/>
      <c r="O24" s="393"/>
    </row>
    <row r="25" spans="2:15" ht="18" customHeight="1">
      <c r="B25" s="378">
        <f aca="true" t="shared" si="1" ref="B25:B31">B24+1</f>
        <v>55</v>
      </c>
      <c r="C25" s="154" t="s">
        <v>234</v>
      </c>
      <c r="D25" s="46"/>
      <c r="E25" s="46"/>
      <c r="F25" s="46"/>
      <c r="G25" s="46"/>
      <c r="H25" s="204" t="s">
        <v>75</v>
      </c>
      <c r="I25" s="317" t="s">
        <v>184</v>
      </c>
      <c r="J25" s="53">
        <v>0</v>
      </c>
      <c r="K25" s="47"/>
      <c r="L25" s="47"/>
      <c r="M25" s="47"/>
      <c r="N25" s="47"/>
      <c r="O25" s="393"/>
    </row>
    <row r="26" spans="2:15" ht="18" customHeight="1">
      <c r="B26" s="378">
        <f t="shared" si="1"/>
        <v>56</v>
      </c>
      <c r="C26" s="154" t="s">
        <v>231</v>
      </c>
      <c r="D26" s="46"/>
      <c r="E26" s="46"/>
      <c r="F26" s="46" t="s">
        <v>76</v>
      </c>
      <c r="G26" s="46"/>
      <c r="H26" s="205" t="s">
        <v>75</v>
      </c>
      <c r="I26" s="317"/>
      <c r="J26" s="53"/>
      <c r="K26" s="47"/>
      <c r="L26" s="47"/>
      <c r="M26" s="47"/>
      <c r="N26" s="47"/>
      <c r="O26" s="393"/>
    </row>
    <row r="27" spans="2:15" ht="18" customHeight="1">
      <c r="B27" s="378">
        <f t="shared" si="1"/>
        <v>57</v>
      </c>
      <c r="C27" s="154"/>
      <c r="D27" s="46"/>
      <c r="E27" s="46"/>
      <c r="F27" s="46" t="s">
        <v>77</v>
      </c>
      <c r="G27" s="46"/>
      <c r="H27" s="205" t="s">
        <v>75</v>
      </c>
      <c r="I27" s="317">
        <v>60</v>
      </c>
      <c r="J27" s="53"/>
      <c r="K27" s="47"/>
      <c r="L27" s="47"/>
      <c r="M27" s="47"/>
      <c r="N27" s="47"/>
      <c r="O27" s="393"/>
    </row>
    <row r="28" spans="2:15" ht="18" customHeight="1">
      <c r="B28" s="378">
        <f t="shared" si="1"/>
        <v>58</v>
      </c>
      <c r="C28" s="154"/>
      <c r="D28" s="46"/>
      <c r="E28" s="46"/>
      <c r="F28" s="46" t="s">
        <v>57</v>
      </c>
      <c r="G28" s="46"/>
      <c r="H28" s="204" t="s">
        <v>75</v>
      </c>
      <c r="I28" s="317"/>
      <c r="J28" s="53"/>
      <c r="K28" s="47"/>
      <c r="L28" s="47"/>
      <c r="M28" s="47"/>
      <c r="N28" s="47"/>
      <c r="O28" s="393"/>
    </row>
    <row r="29" spans="2:15" ht="18" customHeight="1">
      <c r="B29" s="378">
        <f t="shared" si="1"/>
        <v>59</v>
      </c>
      <c r="C29" s="60"/>
      <c r="D29" s="47"/>
      <c r="E29" s="47"/>
      <c r="F29" s="53" t="s">
        <v>185</v>
      </c>
      <c r="G29" s="47"/>
      <c r="H29" s="204" t="s">
        <v>75</v>
      </c>
      <c r="I29" s="317">
        <v>0.5</v>
      </c>
      <c r="J29" s="53"/>
      <c r="K29" s="47"/>
      <c r="L29" s="47"/>
      <c r="M29" s="47"/>
      <c r="N29" s="47"/>
      <c r="O29" s="393"/>
    </row>
    <row r="30" spans="2:15" ht="18" customHeight="1">
      <c r="B30" s="378">
        <f t="shared" si="1"/>
        <v>60</v>
      </c>
      <c r="C30" s="60"/>
      <c r="D30" s="47"/>
      <c r="E30" s="47"/>
      <c r="F30" s="53"/>
      <c r="G30" s="47"/>
      <c r="H30" s="204"/>
      <c r="I30" s="317"/>
      <c r="J30" s="53"/>
      <c r="K30" s="47"/>
      <c r="L30" s="47"/>
      <c r="M30" s="47"/>
      <c r="N30" s="47"/>
      <c r="O30" s="393"/>
    </row>
    <row r="31" spans="2:15" ht="18" customHeight="1">
      <c r="B31" s="379">
        <f t="shared" si="1"/>
        <v>61</v>
      </c>
      <c r="C31" s="63"/>
      <c r="D31" s="346"/>
      <c r="E31" s="346"/>
      <c r="F31" s="62"/>
      <c r="G31" s="346"/>
      <c r="H31" s="206"/>
      <c r="I31" s="318"/>
      <c r="J31" s="62"/>
      <c r="K31" s="346"/>
      <c r="L31" s="346"/>
      <c r="M31" s="346"/>
      <c r="N31" s="346"/>
      <c r="O31" s="368"/>
    </row>
    <row r="32" spans="3:15" ht="15" customHeight="1">
      <c r="C32" s="207"/>
      <c r="D32" s="208"/>
      <c r="O32" s="3"/>
    </row>
    <row r="33" spans="3:15" ht="15.75" customHeight="1">
      <c r="C33" s="207"/>
      <c r="D33" s="208"/>
      <c r="O33" s="3"/>
    </row>
    <row r="34" spans="3:15" ht="22.5" customHeight="1">
      <c r="C34" s="207"/>
      <c r="D34" s="208"/>
      <c r="M34" s="716" t="str">
        <f>'Seite 1 '!M7</f>
        <v>€/ Stute</v>
      </c>
      <c r="O34" s="716" t="str">
        <f>VLOOKUP(Stammdaten!C3,Stammdaten!B4:E24,4)</f>
        <v> € / Fohlen</v>
      </c>
    </row>
    <row r="35" spans="3:15" ht="4.5" customHeight="1">
      <c r="C35" s="207"/>
      <c r="D35" s="208"/>
      <c r="M35" s="85"/>
      <c r="N35" s="30"/>
      <c r="O35" s="719"/>
    </row>
    <row r="36" spans="2:15" ht="4.5" customHeight="1">
      <c r="B36" s="693"/>
      <c r="C36" s="216"/>
      <c r="D36" s="216"/>
      <c r="E36" s="216"/>
      <c r="F36" s="216"/>
      <c r="G36" s="216"/>
      <c r="H36" s="216"/>
      <c r="I36" s="216"/>
      <c r="J36" s="30"/>
      <c r="K36" s="30"/>
      <c r="L36" s="30"/>
      <c r="M36" s="30"/>
      <c r="N36" s="30"/>
      <c r="O36" s="694"/>
    </row>
    <row r="37" spans="2:14" ht="2.25" customHeight="1">
      <c r="B37" s="235"/>
      <c r="C37" s="210"/>
      <c r="D37" s="210"/>
      <c r="E37" s="210"/>
      <c r="F37" s="210"/>
      <c r="G37" s="210"/>
      <c r="H37" s="210"/>
      <c r="I37" s="210"/>
      <c r="N37" s="30"/>
    </row>
    <row r="38" spans="2:15" ht="18" customHeight="1">
      <c r="B38" s="395">
        <f>B31+1</f>
        <v>62</v>
      </c>
      <c r="C38" s="247" t="s">
        <v>79</v>
      </c>
      <c r="D38" s="218"/>
      <c r="E38" s="218"/>
      <c r="F38" s="217"/>
      <c r="G38" s="217"/>
      <c r="H38" s="253"/>
      <c r="I38" s="714"/>
      <c r="J38" s="74"/>
      <c r="K38" s="715"/>
      <c r="L38" s="210"/>
      <c r="M38" s="241">
        <f>IF(F46=0,0,K45/F46)</f>
        <v>78.8</v>
      </c>
      <c r="N38" s="216"/>
      <c r="O38" s="241">
        <f>IF('Seite 1 '!I10=0,0,M38/'Seite 1 '!I10)</f>
        <v>112.57142857142857</v>
      </c>
    </row>
    <row r="39" spans="2:15" ht="18" customHeight="1">
      <c r="B39" s="442">
        <f>B38+1</f>
        <v>63</v>
      </c>
      <c r="C39" s="702" t="s">
        <v>235</v>
      </c>
      <c r="D39" s="701"/>
      <c r="E39" s="701"/>
      <c r="F39" s="755">
        <v>3</v>
      </c>
      <c r="G39" s="443" t="s">
        <v>80</v>
      </c>
      <c r="H39" s="443" t="s">
        <v>81</v>
      </c>
      <c r="I39" s="443" t="s">
        <v>82</v>
      </c>
      <c r="J39" s="443" t="s">
        <v>83</v>
      </c>
      <c r="K39" s="444" t="s">
        <v>84</v>
      </c>
      <c r="L39" s="210"/>
      <c r="M39" s="250"/>
      <c r="N39" s="249"/>
      <c r="O39" s="250"/>
    </row>
    <row r="40" spans="2:15" ht="18" customHeight="1">
      <c r="B40" s="398"/>
      <c r="C40" s="695"/>
      <c r="D40" s="696"/>
      <c r="E40" s="696"/>
      <c r="G40" s="445" t="s">
        <v>85</v>
      </c>
      <c r="H40" s="445" t="s">
        <v>177</v>
      </c>
      <c r="I40" s="446" t="s">
        <v>86</v>
      </c>
      <c r="J40" s="446" t="s">
        <v>87</v>
      </c>
      <c r="K40" s="447" t="s">
        <v>87</v>
      </c>
      <c r="L40" s="210"/>
      <c r="M40" s="250"/>
      <c r="N40" s="249"/>
      <c r="O40" s="250"/>
    </row>
    <row r="41" spans="2:15" ht="18" customHeight="1">
      <c r="B41" s="399">
        <f>B39+1</f>
        <v>64</v>
      </c>
      <c r="C41" s="219" t="s">
        <v>88</v>
      </c>
      <c r="D41" s="219"/>
      <c r="E41" s="32"/>
      <c r="F41" s="697"/>
      <c r="G41" s="220">
        <v>20</v>
      </c>
      <c r="H41" s="221">
        <v>5000</v>
      </c>
      <c r="I41" s="334">
        <f>IF(G41=0,0,100/G41+$F$39)</f>
        <v>8</v>
      </c>
      <c r="J41" s="522">
        <v>15</v>
      </c>
      <c r="K41" s="222">
        <f>H41*I41/100*J41/100</f>
        <v>60</v>
      </c>
      <c r="L41" s="210"/>
      <c r="M41" s="228"/>
      <c r="N41" s="228"/>
      <c r="O41" s="233"/>
    </row>
    <row r="42" spans="2:15" ht="18" customHeight="1">
      <c r="B42" s="399">
        <f>B41+1</f>
        <v>65</v>
      </c>
      <c r="C42" s="219" t="s">
        <v>89</v>
      </c>
      <c r="D42" s="219"/>
      <c r="E42" s="32"/>
      <c r="F42" s="697"/>
      <c r="G42" s="224">
        <v>15</v>
      </c>
      <c r="H42" s="225">
        <v>12000</v>
      </c>
      <c r="I42" s="334">
        <f>IF(G42=0,0,100/G42+$F$39)</f>
        <v>9.666666666666668</v>
      </c>
      <c r="J42" s="523">
        <v>15</v>
      </c>
      <c r="K42" s="222">
        <f>H42*I42/100*J42/100</f>
        <v>174.00000000000003</v>
      </c>
      <c r="L42" s="210"/>
      <c r="M42" s="228"/>
      <c r="N42" s="228"/>
      <c r="O42" s="233"/>
    </row>
    <row r="43" spans="2:15" ht="18" customHeight="1">
      <c r="B43" s="399">
        <f>B42+1</f>
        <v>66</v>
      </c>
      <c r="C43" s="212" t="s">
        <v>90</v>
      </c>
      <c r="D43" s="212"/>
      <c r="E43" s="32"/>
      <c r="F43" s="697"/>
      <c r="G43" s="224"/>
      <c r="H43" s="221"/>
      <c r="I43" s="334">
        <f>IF(G43=0,0,100/G43+$F$39)</f>
        <v>0</v>
      </c>
      <c r="J43" s="524"/>
      <c r="K43" s="222">
        <f>H43*I43/100*J43/100</f>
        <v>0</v>
      </c>
      <c r="L43" s="210"/>
      <c r="M43" s="228"/>
      <c r="N43" s="228"/>
      <c r="O43" s="233"/>
    </row>
    <row r="44" spans="2:15" ht="18" customHeight="1">
      <c r="B44" s="402">
        <f>B43+1</f>
        <v>67</v>
      </c>
      <c r="C44" s="213" t="s">
        <v>236</v>
      </c>
      <c r="D44" s="228"/>
      <c r="G44" s="710">
        <v>20</v>
      </c>
      <c r="H44" s="225">
        <v>40000</v>
      </c>
      <c r="I44" s="334">
        <f>IF(G44=0,0,100/G44+$F$39)</f>
        <v>8</v>
      </c>
      <c r="J44" s="525">
        <v>5</v>
      </c>
      <c r="K44" s="222">
        <f>H44*I44/100*J44/100</f>
        <v>160</v>
      </c>
      <c r="L44" s="210"/>
      <c r="M44" s="228"/>
      <c r="N44" s="228"/>
      <c r="O44" s="233"/>
    </row>
    <row r="45" spans="2:15" ht="18" customHeight="1">
      <c r="B45" s="394">
        <f>B44+1</f>
        <v>68</v>
      </c>
      <c r="C45" s="795" t="s">
        <v>91</v>
      </c>
      <c r="D45" s="796"/>
      <c r="E45" s="796"/>
      <c r="F45" s="796"/>
      <c r="G45" s="797"/>
      <c r="H45" s="260">
        <f>SUM(H41:H44)</f>
        <v>57000</v>
      </c>
      <c r="I45" s="362">
        <f>IF(J45=0,0,K45/J45*100)</f>
        <v>8.65934065934066</v>
      </c>
      <c r="J45" s="261">
        <f>H41*J41%+H42*J42%+H43*J43%+H44*J44%</f>
        <v>4550</v>
      </c>
      <c r="K45" s="244">
        <f>SUM(K41:K44)</f>
        <v>394</v>
      </c>
      <c r="L45" s="210"/>
      <c r="M45" s="233"/>
      <c r="N45" s="228"/>
      <c r="O45" s="233"/>
    </row>
    <row r="46" spans="2:15" ht="18" customHeight="1">
      <c r="B46" s="402">
        <f>B45+1</f>
        <v>69</v>
      </c>
      <c r="C46" s="699" t="s">
        <v>92</v>
      </c>
      <c r="D46" s="21"/>
      <c r="E46" s="21"/>
      <c r="F46" s="756">
        <f>IF('Seite 1 '!S5=0,'Seite 1 '!F5,'Seite 1 '!F5*'Seite 1 '!S5)</f>
        <v>5</v>
      </c>
      <c r="G46" s="713"/>
      <c r="H46" s="501"/>
      <c r="I46" s="502"/>
      <c r="J46" s="260">
        <f>IF(F46=0,0,J45/F46)</f>
        <v>910</v>
      </c>
      <c r="K46" s="248">
        <f>IF(F46=0,0,K45/F46)</f>
        <v>78.8</v>
      </c>
      <c r="L46" s="210"/>
      <c r="M46" s="251">
        <f>IF('[1]Seite 1 '!T12=0,'[1]Seite 1 '!O12,'[1]Seite 1 '!O12*'[1]Seite 1 '!T12)</f>
        <v>0</v>
      </c>
      <c r="N46" s="228"/>
      <c r="O46" s="233"/>
    </row>
    <row r="47" spans="2:15" ht="12.75">
      <c r="B47" s="235"/>
      <c r="C47" s="210"/>
      <c r="D47" s="210"/>
      <c r="E47" s="210"/>
      <c r="F47" s="210"/>
      <c r="G47" s="210"/>
      <c r="H47" s="229"/>
      <c r="I47" s="229"/>
      <c r="L47" s="210"/>
      <c r="M47" s="210"/>
      <c r="N47" s="210"/>
      <c r="O47" s="652"/>
    </row>
    <row r="48" spans="2:15" ht="18" customHeight="1">
      <c r="B48" s="395">
        <f>B46+1</f>
        <v>70</v>
      </c>
      <c r="C48" s="247" t="s">
        <v>93</v>
      </c>
      <c r="D48" s="218"/>
      <c r="E48" s="218"/>
      <c r="F48" s="217"/>
      <c r="G48" s="217"/>
      <c r="J48" s="253"/>
      <c r="K48" s="254"/>
      <c r="L48" s="210"/>
      <c r="M48" s="241">
        <f>IF(F58=0,,K57/F58)</f>
        <v>300</v>
      </c>
      <c r="N48" s="216"/>
      <c r="O48" s="241">
        <f>IF('Seite 1 '!I10=0,0,M48/'Seite 1 '!I10)</f>
        <v>428.5714285714286</v>
      </c>
    </row>
    <row r="49" spans="2:15" ht="18" customHeight="1">
      <c r="B49" s="398">
        <f>B48+1</f>
        <v>71</v>
      </c>
      <c r="C49" s="758" t="s">
        <v>235</v>
      </c>
      <c r="D49" s="759"/>
      <c r="E49" s="697"/>
      <c r="F49" s="757">
        <f>F39</f>
        <v>3</v>
      </c>
      <c r="G49" s="443" t="s">
        <v>80</v>
      </c>
      <c r="H49" s="443" t="s">
        <v>81</v>
      </c>
      <c r="I49" s="443" t="s">
        <v>82</v>
      </c>
      <c r="J49" s="443" t="s">
        <v>83</v>
      </c>
      <c r="K49" s="444" t="s">
        <v>84</v>
      </c>
      <c r="L49" s="210"/>
      <c r="M49" s="250"/>
      <c r="N49" s="249"/>
      <c r="O49" s="250"/>
    </row>
    <row r="50" spans="2:15" ht="18" customHeight="1">
      <c r="B50" s="398">
        <f>B49+1</f>
        <v>72</v>
      </c>
      <c r="C50" s="703" t="s">
        <v>94</v>
      </c>
      <c r="D50" s="46"/>
      <c r="E50" s="704"/>
      <c r="F50" s="700">
        <v>1</v>
      </c>
      <c r="G50" s="445" t="s">
        <v>85</v>
      </c>
      <c r="H50" s="445" t="s">
        <v>177</v>
      </c>
      <c r="I50" s="446" t="s">
        <v>86</v>
      </c>
      <c r="J50" s="446" t="s">
        <v>87</v>
      </c>
      <c r="K50" s="447" t="s">
        <v>87</v>
      </c>
      <c r="L50" s="210"/>
      <c r="M50" s="250"/>
      <c r="N50" s="249"/>
      <c r="O50" s="250"/>
    </row>
    <row r="51" spans="2:15" ht="18" customHeight="1">
      <c r="B51" s="399">
        <f>B50+1</f>
        <v>73</v>
      </c>
      <c r="C51" s="705" t="s">
        <v>95</v>
      </c>
      <c r="D51" s="219"/>
      <c r="E51" s="32"/>
      <c r="F51" s="697"/>
      <c r="G51" s="220"/>
      <c r="H51" s="221"/>
      <c r="I51" s="335">
        <f aca="true" t="shared" si="2" ref="I51:I56">IF(G51=0,0,100/G51+($F$50+$F$49))</f>
        <v>0</v>
      </c>
      <c r="J51" s="522"/>
      <c r="K51" s="222">
        <f aca="true" t="shared" si="3" ref="K51:K56">H51*I51/100*J51/100</f>
        <v>0</v>
      </c>
      <c r="L51" s="210"/>
      <c r="M51" s="228"/>
      <c r="N51" s="228"/>
      <c r="O51" s="233"/>
    </row>
    <row r="52" spans="2:15" ht="18" customHeight="1">
      <c r="B52" s="399">
        <f aca="true" t="shared" si="4" ref="B52:B58">B51+1</f>
        <v>74</v>
      </c>
      <c r="C52" s="705" t="s">
        <v>96</v>
      </c>
      <c r="D52" s="219"/>
      <c r="E52" s="32"/>
      <c r="F52" s="697"/>
      <c r="G52" s="224"/>
      <c r="H52" s="225"/>
      <c r="I52" s="335">
        <f t="shared" si="2"/>
        <v>0</v>
      </c>
      <c r="J52" s="523"/>
      <c r="K52" s="222">
        <f t="shared" si="3"/>
        <v>0</v>
      </c>
      <c r="L52" s="210"/>
      <c r="M52" s="228"/>
      <c r="N52" s="228"/>
      <c r="O52" s="233"/>
    </row>
    <row r="53" spans="2:15" ht="18" customHeight="1">
      <c r="B53" s="399">
        <f t="shared" si="4"/>
        <v>75</v>
      </c>
      <c r="C53" s="705" t="s">
        <v>97</v>
      </c>
      <c r="D53" s="219"/>
      <c r="E53" s="32"/>
      <c r="F53" s="697"/>
      <c r="G53" s="259"/>
      <c r="H53" s="226"/>
      <c r="I53" s="335">
        <f t="shared" si="2"/>
        <v>0</v>
      </c>
      <c r="J53" s="526"/>
      <c r="K53" s="222">
        <f t="shared" si="3"/>
        <v>0</v>
      </c>
      <c r="L53" s="210"/>
      <c r="M53" s="228"/>
      <c r="N53" s="228"/>
      <c r="O53" s="233"/>
    </row>
    <row r="54" spans="2:15" ht="18" customHeight="1">
      <c r="B54" s="399">
        <f t="shared" si="4"/>
        <v>76</v>
      </c>
      <c r="C54" s="705" t="s">
        <v>220</v>
      </c>
      <c r="D54" s="219"/>
      <c r="E54" s="32"/>
      <c r="F54" s="697"/>
      <c r="G54" s="220">
        <v>50</v>
      </c>
      <c r="H54" s="221">
        <v>50000</v>
      </c>
      <c r="I54" s="335">
        <f t="shared" si="2"/>
        <v>6</v>
      </c>
      <c r="J54" s="522">
        <v>10</v>
      </c>
      <c r="K54" s="222">
        <f t="shared" si="3"/>
        <v>300</v>
      </c>
      <c r="L54" s="210"/>
      <c r="M54" s="228"/>
      <c r="N54" s="228"/>
      <c r="O54" s="233"/>
    </row>
    <row r="55" spans="2:15" ht="18" customHeight="1">
      <c r="B55" s="399">
        <f t="shared" si="4"/>
        <v>77</v>
      </c>
      <c r="C55" s="706" t="s">
        <v>98</v>
      </c>
      <c r="D55" s="212"/>
      <c r="E55" s="32"/>
      <c r="F55" s="697"/>
      <c r="G55" s="224">
        <v>25</v>
      </c>
      <c r="H55" s="225">
        <v>15000</v>
      </c>
      <c r="I55" s="335">
        <f t="shared" si="2"/>
        <v>8</v>
      </c>
      <c r="J55" s="523">
        <v>100</v>
      </c>
      <c r="K55" s="222">
        <f t="shared" si="3"/>
        <v>1200</v>
      </c>
      <c r="L55" s="210"/>
      <c r="M55" s="228"/>
      <c r="N55" s="228"/>
      <c r="O55" s="233"/>
    </row>
    <row r="56" spans="2:15" ht="18" customHeight="1">
      <c r="B56" s="399">
        <f t="shared" si="4"/>
        <v>78</v>
      </c>
      <c r="C56" s="707"/>
      <c r="D56" s="708"/>
      <c r="E56" s="709"/>
      <c r="F56" s="709"/>
      <c r="G56" s="710"/>
      <c r="H56" s="225"/>
      <c r="I56" s="335">
        <f t="shared" si="2"/>
        <v>0</v>
      </c>
      <c r="J56" s="523"/>
      <c r="K56" s="222">
        <f t="shared" si="3"/>
        <v>0</v>
      </c>
      <c r="L56" s="210"/>
      <c r="M56" s="228"/>
      <c r="N56" s="228"/>
      <c r="O56" s="233"/>
    </row>
    <row r="57" spans="2:15" ht="18" customHeight="1">
      <c r="B57" s="394">
        <f t="shared" si="4"/>
        <v>79</v>
      </c>
      <c r="C57" s="698" t="s">
        <v>99</v>
      </c>
      <c r="D57" s="243"/>
      <c r="E57" s="2"/>
      <c r="F57" s="21"/>
      <c r="G57" s="21"/>
      <c r="H57" s="260">
        <f>SUM(H51:H56)</f>
        <v>65000</v>
      </c>
      <c r="I57" s="299">
        <f>IF(J57=0,0,K57/J57*100)</f>
        <v>7.5</v>
      </c>
      <c r="J57" s="261">
        <f>H51*J51%+H52*J52%+H53*J53%+H54*J54%+H55*J55%+H56*J56%</f>
        <v>20000</v>
      </c>
      <c r="K57" s="244">
        <f>SUM(K51:K56)</f>
        <v>1500</v>
      </c>
      <c r="L57" s="210"/>
      <c r="M57" s="233"/>
      <c r="N57" s="228"/>
      <c r="O57" s="233"/>
    </row>
    <row r="58" spans="2:15" ht="18" customHeight="1">
      <c r="B58" s="402">
        <f t="shared" si="4"/>
        <v>80</v>
      </c>
      <c r="C58" s="699" t="s">
        <v>212</v>
      </c>
      <c r="D58" s="21"/>
      <c r="E58" s="711"/>
      <c r="F58" s="712">
        <f>F46</f>
        <v>5</v>
      </c>
      <c r="G58" s="501"/>
      <c r="H58" s="501"/>
      <c r="I58" s="720"/>
      <c r="J58" s="260">
        <f>IF(F58=0,0,J57/F58)</f>
        <v>4000</v>
      </c>
      <c r="K58" s="255">
        <f>IF(F58=0,0,K57/F58)</f>
        <v>300</v>
      </c>
      <c r="L58" s="210"/>
      <c r="M58" s="228"/>
      <c r="N58" s="228"/>
      <c r="O58" s="233"/>
    </row>
    <row r="59" spans="2:15" ht="12.75">
      <c r="B59" s="235"/>
      <c r="C59" s="210"/>
      <c r="D59" s="210"/>
      <c r="E59" s="210"/>
      <c r="F59" s="210"/>
      <c r="G59" s="210"/>
      <c r="H59" s="210"/>
      <c r="I59" s="210"/>
      <c r="L59" s="210"/>
      <c r="M59" s="210"/>
      <c r="N59" s="210"/>
      <c r="O59" s="652"/>
    </row>
    <row r="60" spans="2:15" ht="18" customHeight="1">
      <c r="B60" s="394">
        <f>B58+1</f>
        <v>81</v>
      </c>
      <c r="C60" s="230" t="s">
        <v>100</v>
      </c>
      <c r="D60" s="230"/>
      <c r="E60" s="229"/>
      <c r="F60" s="229"/>
      <c r="G60" s="231"/>
      <c r="H60" s="229"/>
      <c r="I60" s="717"/>
      <c r="J60" s="21"/>
      <c r="K60" s="203"/>
      <c r="L60" s="210"/>
      <c r="M60" s="256">
        <f>M38+M48</f>
        <v>378.8</v>
      </c>
      <c r="N60" s="240"/>
      <c r="O60" s="292">
        <f>IF('Seite 1 '!I10=0,0,M60/'Seite 1 '!I10)</f>
        <v>541.1428571428572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80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zoomScale="90" zoomScaleNormal="90" workbookViewId="0" topLeftCell="A1">
      <selection activeCell="N23" sqref="N23"/>
    </sheetView>
  </sheetViews>
  <sheetFormatPr defaultColWidth="11.421875" defaultRowHeight="12.75"/>
  <cols>
    <col min="1" max="1" width="1.7109375" style="210" customWidth="1"/>
    <col min="2" max="2" width="4.28125" style="235" customWidth="1"/>
    <col min="3" max="3" width="16.57421875" style="210" customWidth="1"/>
    <col min="4" max="4" width="9.7109375" style="210" customWidth="1"/>
    <col min="5" max="5" width="12.7109375" style="210" customWidth="1"/>
    <col min="6" max="6" width="11.00390625" style="210" customWidth="1"/>
    <col min="7" max="7" width="10.8515625" style="210" customWidth="1"/>
    <col min="8" max="8" width="23.57421875" style="210" customWidth="1"/>
    <col min="9" max="9" width="2.7109375" style="210" customWidth="1"/>
    <col min="10" max="10" width="9.7109375" style="210" customWidth="1"/>
    <col min="11" max="11" width="1.8515625" style="210" customWidth="1"/>
    <col min="12" max="12" width="10.7109375" style="210" customWidth="1"/>
    <col min="13" max="16384" width="11.421875" style="210" customWidth="1"/>
  </cols>
  <sheetData>
    <row r="1" ht="9" customHeight="1">
      <c r="A1" s="257"/>
    </row>
    <row r="2" spans="2:12" ht="21" customHeight="1">
      <c r="B2" s="237" t="s">
        <v>78</v>
      </c>
      <c r="E2" s="1"/>
      <c r="F2" s="801" t="str">
        <f>'Seite 1 '!I2</f>
        <v>Zuchtstute m. Fohlen bis 5 Monate</v>
      </c>
      <c r="G2" s="802"/>
      <c r="H2" s="802"/>
      <c r="I2" s="802"/>
      <c r="J2" s="802"/>
      <c r="K2" s="802"/>
      <c r="L2" s="803"/>
    </row>
    <row r="3" spans="2:3" ht="14.25" customHeight="1">
      <c r="B3" s="506" t="str">
        <f>'Seite 1 '!B3</f>
        <v> - Produktionsverfahren Zuchtstutenhaltung -</v>
      </c>
      <c r="C3"/>
    </row>
    <row r="4" spans="2:12" ht="22.5" customHeight="1">
      <c r="B4" s="278"/>
      <c r="C4"/>
      <c r="E4" s="211"/>
      <c r="F4" s="211"/>
      <c r="G4" s="211"/>
      <c r="H4" s="211"/>
      <c r="J4" s="718" t="s">
        <v>199</v>
      </c>
      <c r="K4" s="306"/>
      <c r="L4" s="718" t="str">
        <f>'Seite 2'!O34</f>
        <v> € / Fohlen</v>
      </c>
    </row>
    <row r="5" spans="2:12" ht="12.75">
      <c r="B5" s="278"/>
      <c r="C5"/>
      <c r="E5" s="211"/>
      <c r="F5" s="211"/>
      <c r="G5" s="211"/>
      <c r="H5" s="211"/>
      <c r="J5" s="305"/>
      <c r="K5" s="306"/>
      <c r="L5" s="305"/>
    </row>
    <row r="6" spans="2:12" ht="19.5" customHeight="1">
      <c r="B6" s="394">
        <f>'Seite 2'!B60</f>
        <v>81</v>
      </c>
      <c r="C6" s="230" t="s">
        <v>100</v>
      </c>
      <c r="D6" s="229"/>
      <c r="E6" s="229"/>
      <c r="F6" s="231"/>
      <c r="G6" s="229"/>
      <c r="H6" s="293"/>
      <c r="J6" s="280">
        <f>'Seite 2'!M60</f>
        <v>378.8</v>
      </c>
      <c r="K6" s="281"/>
      <c r="L6" s="292">
        <f>IF('Seite 1 '!I10=0,0,J6/'Seite 1 '!I10)</f>
        <v>541.1428571428572</v>
      </c>
    </row>
    <row r="7" spans="10:12" ht="8.25" customHeight="1">
      <c r="J7" s="276"/>
      <c r="K7" s="228"/>
      <c r="L7" s="644"/>
    </row>
    <row r="8" spans="2:13" ht="18" customHeight="1" hidden="1">
      <c r="B8" s="395">
        <f>B6+1</f>
        <v>82</v>
      </c>
      <c r="C8" s="282">
        <f>IF(Stammdaten!C3=2," Kosten Milchquote",0)</f>
        <v>0</v>
      </c>
      <c r="D8" s="265"/>
      <c r="E8" s="285">
        <f>IF(Stammdaten!C3=2," Milch / Kuh (kg) ",0)</f>
        <v>0</v>
      </c>
      <c r="F8" s="336">
        <f>IF(Stammdaten!C3=2,'Seite 1 '!I10,0)</f>
        <v>0</v>
      </c>
      <c r="G8" s="449">
        <f>IF(Stammdaten!C3=2,"Preis/kg (€)",0)</f>
        <v>0</v>
      </c>
      <c r="H8" s="348">
        <v>0</v>
      </c>
      <c r="I8" s="252"/>
      <c r="J8" s="300">
        <f>F8*H8*F9/100</f>
        <v>0</v>
      </c>
      <c r="K8" s="286"/>
      <c r="L8" s="241">
        <f>IF('Seite 1 '!I10=0,0,J8/'Seite 1 '!I10)</f>
        <v>0</v>
      </c>
      <c r="M8" s="287"/>
    </row>
    <row r="9" spans="2:12" ht="15" customHeight="1" hidden="1">
      <c r="B9" s="396">
        <f>B8+1</f>
        <v>83</v>
      </c>
      <c r="C9" s="266">
        <f>IF(Stammdaten!C3=2," Jahreskosten",0)</f>
        <v>0</v>
      </c>
      <c r="D9" s="214"/>
      <c r="E9" s="448">
        <f>IF(Stammdaten!C3=2,"% ",0)</f>
        <v>0</v>
      </c>
      <c r="F9" s="279">
        <v>0</v>
      </c>
      <c r="G9" s="448">
        <f>IF(Stammdaten!C3=2,"€ / kg ",0)</f>
        <v>0</v>
      </c>
      <c r="H9" s="284">
        <f>H8*F9/100</f>
        <v>0</v>
      </c>
      <c r="J9" s="250"/>
      <c r="K9" s="228"/>
      <c r="L9" s="290"/>
    </row>
    <row r="10" spans="10:12" ht="15" customHeight="1">
      <c r="J10" s="276"/>
      <c r="K10" s="228"/>
      <c r="L10" s="644"/>
    </row>
    <row r="11" spans="2:12" ht="24" customHeight="1">
      <c r="B11" s="395">
        <f>B6+1</f>
        <v>82</v>
      </c>
      <c r="C11" s="282" t="s">
        <v>101</v>
      </c>
      <c r="D11" s="283"/>
      <c r="E11" s="741"/>
      <c r="F11" s="450" t="s">
        <v>102</v>
      </c>
      <c r="G11" s="295" t="s">
        <v>173</v>
      </c>
      <c r="H11" s="294" t="s">
        <v>174</v>
      </c>
      <c r="J11" s="246">
        <f>H12</f>
        <v>1143</v>
      </c>
      <c r="K11" s="228"/>
      <c r="L11" s="292">
        <f>IF('Seite 1 '!I10=0,0,J11/'Seite 1 '!I10)</f>
        <v>1632.857142857143</v>
      </c>
    </row>
    <row r="12" spans="2:12" ht="15" customHeight="1">
      <c r="B12" s="397">
        <f>B11+1</f>
        <v>83</v>
      </c>
      <c r="C12" s="223" t="s">
        <v>103</v>
      </c>
      <c r="D12" s="223"/>
      <c r="E12" s="742" t="str">
        <f>"("&amp;"Z. "&amp;'Seite 2'!B21&amp;")"</f>
        <v>(Z. 52)</v>
      </c>
      <c r="F12" s="350">
        <f>'Seite 1 '!M60</f>
        <v>90.25</v>
      </c>
      <c r="G12" s="268">
        <f>IF(H12=0,0,H12/F12)</f>
        <v>12.664819944598339</v>
      </c>
      <c r="H12" s="269">
        <f>H13+H14</f>
        <v>1143</v>
      </c>
      <c r="J12" s="228"/>
      <c r="K12" s="228"/>
      <c r="L12" s="645"/>
    </row>
    <row r="13" spans="2:12" ht="15" customHeight="1">
      <c r="B13" s="397">
        <f>B12+1</f>
        <v>84</v>
      </c>
      <c r="C13" s="223" t="s">
        <v>104</v>
      </c>
      <c r="D13" s="805" t="s">
        <v>221</v>
      </c>
      <c r="E13" s="806"/>
      <c r="F13" s="351">
        <v>20</v>
      </c>
      <c r="G13" s="270">
        <v>15</v>
      </c>
      <c r="H13" s="269">
        <f>F13*G13</f>
        <v>300</v>
      </c>
      <c r="J13" s="228"/>
      <c r="K13" s="228"/>
      <c r="L13" s="645"/>
    </row>
    <row r="14" spans="2:12" ht="15" customHeight="1">
      <c r="B14" s="396">
        <f>B13+1</f>
        <v>85</v>
      </c>
      <c r="C14" s="214" t="s">
        <v>105</v>
      </c>
      <c r="D14" s="807" t="s">
        <v>237</v>
      </c>
      <c r="E14" s="808"/>
      <c r="F14" s="352">
        <f>F12-F13</f>
        <v>70.25</v>
      </c>
      <c r="G14" s="271">
        <v>12</v>
      </c>
      <c r="H14" s="272">
        <f>F14*G14</f>
        <v>843</v>
      </c>
      <c r="J14" s="228"/>
      <c r="K14" s="228"/>
      <c r="L14" s="645"/>
    </row>
    <row r="15" spans="10:12" ht="15" customHeight="1">
      <c r="J15" s="276"/>
      <c r="K15" s="228"/>
      <c r="L15" s="644"/>
    </row>
    <row r="16" spans="2:12" ht="18" customHeight="1">
      <c r="B16" s="395">
        <f>B14+1</f>
        <v>86</v>
      </c>
      <c r="C16" s="282" t="s">
        <v>106</v>
      </c>
      <c r="D16" s="283"/>
      <c r="E16" s="288"/>
      <c r="F16" s="289"/>
      <c r="G16" s="267"/>
      <c r="H16" s="294" t="s">
        <v>199</v>
      </c>
      <c r="J16" s="246">
        <f>H17+H18</f>
        <v>50</v>
      </c>
      <c r="K16" s="228"/>
      <c r="L16" s="292">
        <f>IF('Seite 1 '!I10=0,0,J16/'Seite 1 '!I10)</f>
        <v>71.42857142857143</v>
      </c>
    </row>
    <row r="17" spans="2:12" ht="15" customHeight="1">
      <c r="B17" s="397">
        <f>B16+1</f>
        <v>87</v>
      </c>
      <c r="C17" s="227" t="s">
        <v>222</v>
      </c>
      <c r="D17" s="373"/>
      <c r="E17" s="373"/>
      <c r="F17" s="373"/>
      <c r="G17" s="373"/>
      <c r="H17" s="273">
        <v>50</v>
      </c>
      <c r="J17" s="228"/>
      <c r="K17" s="228"/>
      <c r="L17" s="645"/>
    </row>
    <row r="18" spans="2:12" ht="15" customHeight="1">
      <c r="B18" s="396">
        <f>B17+1</f>
        <v>88</v>
      </c>
      <c r="C18" s="274"/>
      <c r="D18" s="234"/>
      <c r="E18" s="234"/>
      <c r="F18" s="234"/>
      <c r="G18" s="234"/>
      <c r="H18" s="275"/>
      <c r="J18" s="228"/>
      <c r="K18" s="290"/>
      <c r="L18" s="645"/>
    </row>
    <row r="19" spans="10:12" ht="15" customHeight="1">
      <c r="J19" s="276"/>
      <c r="K19" s="228"/>
      <c r="L19" s="644"/>
    </row>
    <row r="20" spans="2:12" ht="18" customHeight="1">
      <c r="B20" s="395">
        <f>B18+1</f>
        <v>89</v>
      </c>
      <c r="C20" s="282" t="s">
        <v>107</v>
      </c>
      <c r="D20" s="472"/>
      <c r="E20" s="473" t="s">
        <v>175</v>
      </c>
      <c r="F20" s="474"/>
      <c r="G20" s="473" t="s">
        <v>108</v>
      </c>
      <c r="H20" s="469"/>
      <c r="J20" s="246">
        <f>IF('Seite 2'!F46=0,0,E21*G21%/'Seite 2'!F46)</f>
        <v>120</v>
      </c>
      <c r="K20" s="228"/>
      <c r="L20" s="292">
        <f>IF('Seite 1 '!I10=0,0,J20/'Seite 1 '!I10)</f>
        <v>171.42857142857144</v>
      </c>
    </row>
    <row r="21" spans="2:12" ht="15" customHeight="1">
      <c r="B21" s="396">
        <f>B20+1</f>
        <v>90</v>
      </c>
      <c r="C21" s="503"/>
      <c r="D21" s="501"/>
      <c r="E21" s="470">
        <v>12000</v>
      </c>
      <c r="F21" s="471"/>
      <c r="G21" s="528">
        <v>5</v>
      </c>
      <c r="H21" s="372"/>
      <c r="J21" s="291"/>
      <c r="K21" s="228"/>
      <c r="L21" s="361"/>
    </row>
    <row r="22" spans="2:12" ht="15" customHeight="1">
      <c r="B22" s="236"/>
      <c r="C22" s="327"/>
      <c r="D22" s="228"/>
      <c r="E22" s="233"/>
      <c r="F22" s="233"/>
      <c r="G22" s="451"/>
      <c r="H22" s="452"/>
      <c r="J22" s="291"/>
      <c r="K22" s="228"/>
      <c r="L22" s="361"/>
    </row>
    <row r="23" spans="2:12" ht="18" customHeight="1">
      <c r="B23" s="394">
        <f>B21+1</f>
        <v>91</v>
      </c>
      <c r="C23" s="277" t="s">
        <v>109</v>
      </c>
      <c r="D23" s="229"/>
      <c r="E23" s="242"/>
      <c r="F23" s="242"/>
      <c r="G23" s="242"/>
      <c r="H23" s="726" t="str">
        <f>"(Z."&amp;B6&amp;"+Z."&amp;B11&amp;"+Z."&amp;B16&amp;"+Z."&amp;B20&amp;")"</f>
        <v>(Z.81+Z.82+Z.86+Z.89)</v>
      </c>
      <c r="I23" s="216"/>
      <c r="J23" s="292">
        <f>J6+J8+J11+J16+J20</f>
        <v>1691.8</v>
      </c>
      <c r="K23" s="216"/>
      <c r="L23" s="292">
        <f>IF('Seite 1 '!I10=0,0,J23/'Seite 1 '!I10)</f>
        <v>2416.857142857143</v>
      </c>
    </row>
    <row r="24" spans="2:12" ht="15" customHeight="1" thickBot="1">
      <c r="B24" s="236"/>
      <c r="C24" s="411"/>
      <c r="D24" s="216"/>
      <c r="E24" s="453"/>
      <c r="F24" s="453"/>
      <c r="G24" s="453"/>
      <c r="H24" s="454"/>
      <c r="I24" s="216"/>
      <c r="J24" s="455"/>
      <c r="K24" s="216"/>
      <c r="L24" s="455"/>
    </row>
    <row r="25" spans="2:12" ht="18" customHeight="1" thickTop="1">
      <c r="B25" s="464">
        <f>B23+1</f>
        <v>92</v>
      </c>
      <c r="C25" s="465" t="s">
        <v>110</v>
      </c>
      <c r="D25" s="466"/>
      <c r="E25" s="467"/>
      <c r="F25" s="467"/>
      <c r="G25" s="467"/>
      <c r="H25" s="725" t="str">
        <f>"(Z."&amp;'Seite 1 '!B56&amp;"+Z."&amp;B23&amp;")"</f>
        <v>(Z.41+Z.91)</v>
      </c>
      <c r="I25" s="456"/>
      <c r="J25" s="532">
        <f>'Seite 1 '!M56+'Seite 3'!J23</f>
        <v>4811.170533333333</v>
      </c>
      <c r="K25" s="456"/>
      <c r="L25" s="649">
        <f>IF('Seite 1 '!I10=0,0,'Seite 3'!J25/'Seite 1 '!I10)</f>
        <v>6873.100761904761</v>
      </c>
    </row>
    <row r="26" spans="2:12" ht="18" customHeight="1">
      <c r="B26" s="461">
        <f>B25+1</f>
        <v>93</v>
      </c>
      <c r="C26" s="468" t="s">
        <v>111</v>
      </c>
      <c r="D26" s="214"/>
      <c r="E26" s="215"/>
      <c r="F26" s="215"/>
      <c r="G26" s="215"/>
      <c r="H26" s="770" t="str">
        <f>"(Z."&amp;'Seite 1 '!B11&amp;" bis Z."&amp;'Seite 1 '!B14&amp;" )"</f>
        <v>(Z.4 bis Z.7 )</v>
      </c>
      <c r="I26" s="216"/>
      <c r="J26" s="533">
        <f>'Seite 1 '!K11+'Seite 1 '!K12+'Seite 1 '!K13+'Seite 1 '!K16+'Seite 1 '!K17+'Seite 1 '!K18+'Seite 1 '!K19+'Seite 1 '!K20+'Seite 1 '!K22+'Seite 1 '!K23+'Seite 1 '!K24</f>
        <v>168.37333333333333</v>
      </c>
      <c r="K26" s="216"/>
      <c r="L26" s="650">
        <f>IF('Seite 1 '!I10=0,0,'Seite 3'!J26/'Seite 1 '!I10)</f>
        <v>240.53333333333336</v>
      </c>
    </row>
    <row r="27" spans="2:12" ht="18" customHeight="1">
      <c r="B27" s="461">
        <f>B26+1</f>
        <v>94</v>
      </c>
      <c r="C27" s="531" t="s">
        <v>186</v>
      </c>
      <c r="D27" s="214"/>
      <c r="E27" s="215"/>
      <c r="F27" s="215"/>
      <c r="G27" s="215"/>
      <c r="H27" s="744" t="str">
        <f>"(Z."&amp;B25&amp;"-Z."&amp;B26&amp;")"</f>
        <v>(Z.92-Z.93)</v>
      </c>
      <c r="I27" s="216"/>
      <c r="J27" s="771"/>
      <c r="K27" s="216"/>
      <c r="L27" s="651">
        <f>L25-L26</f>
        <v>6632.567428571428</v>
      </c>
    </row>
    <row r="28" spans="2:12" ht="15.75" customHeight="1" thickBot="1">
      <c r="B28" s="457"/>
      <c r="C28" s="216"/>
      <c r="D28" s="216"/>
      <c r="E28" s="216"/>
      <c r="F28" s="216"/>
      <c r="G28" s="216"/>
      <c r="H28" s="216"/>
      <c r="I28" s="216"/>
      <c r="J28" s="211"/>
      <c r="K28" s="228"/>
      <c r="L28" s="646"/>
    </row>
    <row r="29" spans="1:13" ht="19.5" customHeight="1" thickBot="1">
      <c r="A29" s="257"/>
      <c r="B29" s="534">
        <f>B27+1</f>
        <v>95</v>
      </c>
      <c r="C29" s="535" t="s">
        <v>187</v>
      </c>
      <c r="D29" s="536"/>
      <c r="E29" s="537"/>
      <c r="F29" s="538"/>
      <c r="G29" s="536"/>
      <c r="H29" s="727" t="str">
        <f>"(Z."&amp;'Seite 1 '!B58&amp;"-Z."&amp;B23&amp;")"</f>
        <v>(Z.42-Z.91)</v>
      </c>
      <c r="I29" s="216"/>
      <c r="J29" s="658">
        <f>'Seite 1 '!M58-'Seite 3'!J23</f>
        <v>-2192.7972</v>
      </c>
      <c r="K29" s="228"/>
      <c r="L29" s="659">
        <f>IF('Seite 1 '!I10=0,0,J29/'Seite 1 '!I10)</f>
        <v>-3132.5674285714285</v>
      </c>
      <c r="M29" s="652"/>
    </row>
    <row r="30" spans="2:12" ht="15" customHeight="1">
      <c r="B30" s="457"/>
      <c r="C30" s="216"/>
      <c r="D30" s="216"/>
      <c r="E30" s="216"/>
      <c r="F30" s="216"/>
      <c r="G30" s="216"/>
      <c r="H30" s="216"/>
      <c r="I30" s="216"/>
      <c r="J30" s="211"/>
      <c r="K30" s="228"/>
      <c r="L30" s="646"/>
    </row>
    <row r="31" spans="2:12" ht="22.5" customHeight="1">
      <c r="B31" s="529"/>
      <c r="C31" s="530" t="s">
        <v>112</v>
      </c>
      <c r="D31" s="216"/>
      <c r="E31" s="216"/>
      <c r="F31" s="216"/>
      <c r="G31" s="216"/>
      <c r="H31" s="216"/>
      <c r="I31" s="216"/>
      <c r="J31" s="216"/>
      <c r="K31" s="228"/>
      <c r="L31" s="646"/>
    </row>
    <row r="32" spans="2:12" ht="21" customHeight="1">
      <c r="B32" s="458">
        <f>B29+1</f>
        <v>96</v>
      </c>
      <c r="C32" s="247" t="s">
        <v>240</v>
      </c>
      <c r="D32" s="217"/>
      <c r="E32" s="337"/>
      <c r="F32" s="338"/>
      <c r="G32" s="337"/>
      <c r="H32" s="746" t="str">
        <f>"(Z."&amp;B11&amp;"+Z."&amp;B29&amp;")"</f>
        <v>(Z.82+Z.95)</v>
      </c>
      <c r="I32" s="216"/>
      <c r="J32" s="660">
        <f>J29+J11</f>
        <v>-1049.7972</v>
      </c>
      <c r="K32" s="298"/>
      <c r="L32" s="661">
        <f>IF('Seite 1 '!I10=0,0,J32/'Seite 1 '!I10)</f>
        <v>-1499.7102857142859</v>
      </c>
    </row>
    <row r="33" spans="2:12" ht="21" customHeight="1">
      <c r="B33" s="459">
        <f aca="true" t="shared" si="0" ref="B33:B41">B32+1</f>
        <v>97</v>
      </c>
      <c r="C33" s="310"/>
      <c r="D33" s="307"/>
      <c r="E33" s="476" t="s">
        <v>113</v>
      </c>
      <c r="F33" s="475">
        <f>F12</f>
        <v>90.25</v>
      </c>
      <c r="G33" s="308"/>
      <c r="H33" s="745" t="s">
        <v>176</v>
      </c>
      <c r="I33" s="216"/>
      <c r="J33" s="664">
        <f>IF(F33=0,0,J32/F33)</f>
        <v>-11.632101939058172</v>
      </c>
      <c r="K33" s="298"/>
      <c r="L33" s="647"/>
    </row>
    <row r="34" spans="2:12" ht="21" customHeight="1">
      <c r="B34" s="458">
        <f t="shared" si="0"/>
        <v>98</v>
      </c>
      <c r="C34" s="247" t="s">
        <v>114</v>
      </c>
      <c r="D34" s="217"/>
      <c r="E34" s="217"/>
      <c r="F34" s="217"/>
      <c r="G34" s="209"/>
      <c r="H34" s="746" t="str">
        <f>"(Z."&amp;'Seite 2'!B48&amp;"+Z."&amp;B29&amp;")"</f>
        <v>(Z.70+Z.95)</v>
      </c>
      <c r="I34" s="216"/>
      <c r="J34" s="660">
        <f>J29+'Seite 2'!M48</f>
        <v>-1892.7972</v>
      </c>
      <c r="K34" s="662"/>
      <c r="L34" s="661">
        <f>IF('Seite 1 '!I10=0,0,J34/'Seite 1 '!I10)</f>
        <v>-2703.996</v>
      </c>
    </row>
    <row r="35" spans="2:12" ht="21" customHeight="1">
      <c r="B35" s="460">
        <f t="shared" si="0"/>
        <v>99</v>
      </c>
      <c r="C35" s="412"/>
      <c r="D35" s="412"/>
      <c r="E35" s="476" t="s">
        <v>115</v>
      </c>
      <c r="F35" s="309">
        <f>'Seite 2'!I57</f>
        <v>7.5</v>
      </c>
      <c r="G35" s="477"/>
      <c r="H35" s="478" t="s">
        <v>239</v>
      </c>
      <c r="I35" s="216"/>
      <c r="J35" s="663">
        <f>IF(F35=0,0,IF('Seite 1 '!S5=0,J34*100/F35,J34/F35*100*'Seite 1 '!S5))</f>
        <v>-25237.296000000002</v>
      </c>
      <c r="K35" s="298"/>
      <c r="L35" s="648"/>
    </row>
    <row r="36" spans="1:12" ht="21" customHeight="1">
      <c r="A36" s="257"/>
      <c r="B36" s="458">
        <f t="shared" si="0"/>
        <v>100</v>
      </c>
      <c r="C36" s="761" t="s">
        <v>241</v>
      </c>
      <c r="D36" s="472"/>
      <c r="E36" s="472"/>
      <c r="F36" s="472"/>
      <c r="G36" s="472"/>
      <c r="H36" s="746" t="str">
        <f>"(Z."&amp;'Seite 2'!B48&amp;"+Z."&amp;B11&amp;"+Z."&amp;B29&amp;")"</f>
        <v>(Z.70+Z.82+Z.95)</v>
      </c>
      <c r="I36" s="216"/>
      <c r="J36" s="660">
        <f>J29+J11+'Seite 2'!M48</f>
        <v>-749.7972</v>
      </c>
      <c r="K36" s="662"/>
      <c r="L36" s="661">
        <f>IF('Seite 1 '!I10=0,0,J36/'Seite 1 '!I10)</f>
        <v>-1071.1388571428572</v>
      </c>
    </row>
    <row r="37" spans="2:12" ht="21" customHeight="1" thickBot="1">
      <c r="B37" s="763">
        <f t="shared" si="0"/>
        <v>101</v>
      </c>
      <c r="C37" s="764" t="s">
        <v>116</v>
      </c>
      <c r="D37" s="764"/>
      <c r="E37" s="764"/>
      <c r="F37" s="764"/>
      <c r="G37" s="764"/>
      <c r="H37" s="765" t="s">
        <v>172</v>
      </c>
      <c r="I37" s="766"/>
      <c r="J37" s="767">
        <f>IF(F33=0,0,J36/F33)</f>
        <v>-8.308002216066482</v>
      </c>
      <c r="K37" s="768"/>
      <c r="L37" s="769"/>
    </row>
    <row r="38" spans="2:12" ht="19.5" customHeight="1" hidden="1">
      <c r="B38" s="462">
        <f t="shared" si="0"/>
        <v>102</v>
      </c>
      <c r="C38" s="762">
        <f>IF(Stammdaten!C3=2," ... Gebäude und Quote",0)</f>
        <v>0</v>
      </c>
      <c r="D38" s="216"/>
      <c r="E38" s="216"/>
      <c r="F38" s="216"/>
      <c r="G38" s="216"/>
      <c r="H38" s="340">
        <f>IF(Stammdaten!C3=2,"(Z.120 + Z.102) ",0)</f>
        <v>0</v>
      </c>
      <c r="I38" s="216"/>
      <c r="J38" s="365">
        <f>IF(Stammdaten!C3=2,J29+#REF!+'Seite 3'!J8,0)</f>
        <v>0</v>
      </c>
      <c r="K38" s="298"/>
      <c r="L38" s="463"/>
    </row>
    <row r="39" spans="2:12" ht="19.5" customHeight="1" hidden="1">
      <c r="B39" s="459">
        <f t="shared" si="0"/>
        <v>103</v>
      </c>
      <c r="C39" s="360">
        <f>IF(Stammdaten!C3=2," =Verwertung der Quote bei fehlender Nutzungsalternative d. Gebäude",0)</f>
        <v>0</v>
      </c>
      <c r="D39" s="216"/>
      <c r="E39" s="216"/>
      <c r="F39" s="216"/>
      <c r="G39" s="216"/>
      <c r="H39" s="340">
        <f>IF(Stammdaten!C3=2,"€ / kg ",0)</f>
        <v>0</v>
      </c>
      <c r="I39" s="216"/>
      <c r="J39" s="370"/>
      <c r="K39" s="298"/>
      <c r="L39" s="504">
        <f>IF('Seite 1 '!I10=0,0,J38/'Seite 1 '!I10)</f>
        <v>0</v>
      </c>
    </row>
    <row r="40" spans="2:12" ht="19.5" customHeight="1" hidden="1">
      <c r="B40" s="458">
        <f t="shared" si="0"/>
        <v>104</v>
      </c>
      <c r="C40" s="480">
        <f>IF(Stammdaten!C3=2," ... Gebäude, Arbeit und Quote",0)</f>
        <v>0</v>
      </c>
      <c r="D40" s="217"/>
      <c r="E40" s="217"/>
      <c r="F40" s="217"/>
      <c r="G40" s="217"/>
      <c r="H40" s="479">
        <f>IF(Stammdaten!C3=2,"(Z.125 + Z.104) ",0)</f>
        <v>0</v>
      </c>
      <c r="I40" s="216"/>
      <c r="J40" s="245">
        <f>IF(Stammdaten!C3=2,J29+J11+#REF!+'Seite 3'!J8,0)</f>
        <v>0</v>
      </c>
      <c r="K40" s="298"/>
      <c r="L40" s="463"/>
    </row>
    <row r="41" spans="2:12" ht="19.5" customHeight="1" hidden="1" thickBot="1">
      <c r="B41" s="459">
        <f t="shared" si="0"/>
        <v>105</v>
      </c>
      <c r="C41" s="353">
        <f>IF(Stammdaten!C3=2," =Verwertung der Quote bei fehl. Nutzungsalternativen f. Arbeit u. Geb.",0)</f>
        <v>0</v>
      </c>
      <c r="D41" s="297"/>
      <c r="E41" s="297"/>
      <c r="F41" s="297"/>
      <c r="G41" s="297"/>
      <c r="H41" s="341">
        <f>IF(Stammdaten!C3=2,"€ / kg ",0)</f>
        <v>0</v>
      </c>
      <c r="I41" s="297"/>
      <c r="J41" s="371"/>
      <c r="K41" s="301"/>
      <c r="L41" s="505">
        <f>IF('Seite 1 '!I10=0,0,J40/'Seite 1 '!I10)</f>
        <v>0</v>
      </c>
    </row>
    <row r="42" spans="2:12" ht="38.25" customHeight="1" thickTop="1">
      <c r="B42" s="236"/>
      <c r="C42" s="216"/>
      <c r="D42" s="216"/>
      <c r="E42" s="216"/>
      <c r="F42" s="216"/>
      <c r="G42" s="216"/>
      <c r="H42" s="302"/>
      <c r="J42" s="303"/>
      <c r="K42" s="240"/>
      <c r="L42" s="359"/>
    </row>
    <row r="43" spans="9:12" ht="9.75" customHeight="1">
      <c r="I43" s="232"/>
      <c r="J43" s="804"/>
      <c r="K43" s="804"/>
      <c r="L43" s="804"/>
    </row>
    <row r="44" spans="9:12" ht="15" customHeight="1">
      <c r="I44" s="232"/>
      <c r="K44" s="232"/>
      <c r="L44" s="257"/>
    </row>
    <row r="45" spans="9:11" ht="12.75">
      <c r="I45" s="232"/>
      <c r="K45" s="232"/>
    </row>
    <row r="46" spans="9:11" ht="12.75">
      <c r="I46" s="232"/>
      <c r="K46" s="232"/>
    </row>
    <row r="47" spans="9:11" ht="12.75">
      <c r="I47" s="232"/>
      <c r="K47" s="232"/>
    </row>
    <row r="81" spans="10:12" ht="12.75">
      <c r="J81" s="232"/>
      <c r="L81" s="232"/>
    </row>
    <row r="82" spans="10:12" ht="12.75">
      <c r="J82" s="232"/>
      <c r="L82" s="232"/>
    </row>
  </sheetData>
  <sheetProtection sheet="1" objects="1" scenarios="1"/>
  <mergeCells count="4">
    <mergeCell ref="F2:L2"/>
    <mergeCell ref="J43:L43"/>
    <mergeCell ref="D13:E13"/>
    <mergeCell ref="D14:E1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2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75" zoomScaleNormal="75" workbookViewId="0" topLeftCell="A1">
      <selection activeCell="J5" sqref="J5"/>
    </sheetView>
  </sheetViews>
  <sheetFormatPr defaultColWidth="11.421875" defaultRowHeight="12.75"/>
  <cols>
    <col min="1" max="1" width="1.7109375" style="210" customWidth="1"/>
    <col min="2" max="2" width="3.57421875" style="210" customWidth="1"/>
    <col min="3" max="3" width="9.8515625" style="210" customWidth="1"/>
    <col min="4" max="4" width="11.7109375" style="210" customWidth="1"/>
    <col min="5" max="5" width="13.28125" style="210" customWidth="1"/>
    <col min="6" max="6" width="9.8515625" style="210" customWidth="1"/>
    <col min="7" max="7" width="32.00390625" style="210" customWidth="1"/>
    <col min="8" max="8" width="18.57421875" style="540" customWidth="1"/>
    <col min="9" max="9" width="4.28125" style="210" customWidth="1"/>
    <col min="10" max="10" width="16.28125" style="540" customWidth="1"/>
    <col min="11" max="11" width="9.8515625" style="210" customWidth="1"/>
    <col min="12" max="16384" width="11.421875" style="210" customWidth="1"/>
  </cols>
  <sheetData>
    <row r="1" ht="9" customHeight="1">
      <c r="A1" s="257"/>
    </row>
    <row r="2" spans="2:11" ht="30.75" customHeight="1">
      <c r="B2" s="541" t="s">
        <v>117</v>
      </c>
      <c r="F2" s="542"/>
      <c r="G2" s="823" t="str">
        <f>'Seite 1 '!I2</f>
        <v>Zuchtstute m. Fohlen bis 5 Monate</v>
      </c>
      <c r="H2" s="824"/>
      <c r="I2" s="824"/>
      <c r="J2" s="824"/>
      <c r="K2" s="825"/>
    </row>
    <row r="3" spans="2:11" ht="30.75" customHeight="1">
      <c r="B3" s="543" t="str">
        <f>'Seite 1 '!B3</f>
        <v> - Produktionsverfahren Zuchtstutenhaltung -</v>
      </c>
      <c r="C3" s="11"/>
      <c r="F3" s="542"/>
      <c r="G3" s="542"/>
      <c r="H3" s="544"/>
      <c r="I3" s="545"/>
      <c r="J3" s="544"/>
      <c r="K3" s="545"/>
    </row>
    <row r="4" spans="3:7" ht="16.5" customHeight="1">
      <c r="C4" s="546"/>
      <c r="F4" s="1"/>
      <c r="G4" s="547"/>
    </row>
    <row r="5" spans="2:11" ht="24" customHeight="1">
      <c r="B5" s="548" t="s">
        <v>118</v>
      </c>
      <c r="C5" s="1"/>
      <c r="D5" s="1"/>
      <c r="E5" s="549" t="s">
        <v>119</v>
      </c>
      <c r="F5" s="643">
        <f>'Seite 1 '!J10</f>
        <v>3500</v>
      </c>
      <c r="G5" s="550" t="str">
        <f>J7</f>
        <v> € / Fohlen</v>
      </c>
      <c r="H5" s="1"/>
      <c r="I5" s="551" t="s">
        <v>191</v>
      </c>
      <c r="J5" s="638">
        <f>'Seite 1 '!I10</f>
        <v>0.7</v>
      </c>
      <c r="K5" s="552" t="str">
        <f>'Seite 1 '!I7</f>
        <v> Stück</v>
      </c>
    </row>
    <row r="6" spans="2:11" ht="27" customHeight="1" thickBot="1">
      <c r="B6" s="553"/>
      <c r="C6" s="554"/>
      <c r="E6" s="555"/>
      <c r="F6" s="556"/>
      <c r="G6" s="556"/>
      <c r="H6" s="557"/>
      <c r="I6" s="556"/>
      <c r="J6" s="557"/>
      <c r="K6" s="556"/>
    </row>
    <row r="7" spans="2:11" ht="31.5" customHeight="1">
      <c r="B7" s="558"/>
      <c r="C7" s="296"/>
      <c r="D7" s="296"/>
      <c r="E7" s="772"/>
      <c r="F7" s="296"/>
      <c r="G7" s="296"/>
      <c r="H7" s="826" t="s">
        <v>189</v>
      </c>
      <c r="I7" s="828"/>
      <c r="J7" s="826" t="str">
        <f>'Seite 1 '!O7</f>
        <v> € / Fohlen</v>
      </c>
      <c r="K7" s="827"/>
    </row>
    <row r="8" spans="2:11" ht="31.5" customHeight="1">
      <c r="B8" s="559"/>
      <c r="C8" s="562" t="str">
        <f>'Seite 1 '!G10</f>
        <v>Absatzfohlen</v>
      </c>
      <c r="D8" s="561"/>
      <c r="F8" s="560"/>
      <c r="G8" s="560"/>
      <c r="H8" s="563">
        <f>'Seite 1 '!K10</f>
        <v>2450</v>
      </c>
      <c r="I8" s="216"/>
      <c r="J8" s="563">
        <f>IF('Seite 1 '!I10=0,0,H8/'Seite 1 '!$I$10)</f>
        <v>3500</v>
      </c>
      <c r="K8" s="564"/>
    </row>
    <row r="9" spans="2:11" ht="31.5" customHeight="1">
      <c r="B9" s="565"/>
      <c r="C9" s="566" t="s">
        <v>242</v>
      </c>
      <c r="D9" s="566"/>
      <c r="E9" s="566"/>
      <c r="F9" s="566"/>
      <c r="G9" s="566"/>
      <c r="H9" s="567">
        <f>'Seite 1 '!K11+'Seite 1 '!K12+'Seite 1 '!K13+'Seite 1 '!K16+'Seite 1 '!K17+'Seite 1 '!K18+'Seite 1 '!K19+'Seite 1 '!K20</f>
        <v>168.37333333333333</v>
      </c>
      <c r="I9" s="1"/>
      <c r="J9" s="639">
        <f>IF('Seite 1 '!I10=0,0,H9/'Seite 1 '!$I$10)</f>
        <v>240.53333333333336</v>
      </c>
      <c r="K9" s="564"/>
    </row>
    <row r="10" spans="2:11" ht="31.5" customHeight="1" hidden="1">
      <c r="B10" s="565"/>
      <c r="C10" s="566" t="s">
        <v>120</v>
      </c>
      <c r="D10" s="566"/>
      <c r="E10" s="566"/>
      <c r="F10" s="566"/>
      <c r="G10" s="566"/>
      <c r="H10" s="567">
        <f>'Seite 1 '!O21</f>
        <v>0</v>
      </c>
      <c r="I10" s="1"/>
      <c r="J10" s="639">
        <f>IF('Seite 1 '!I10=0,0,H10/'Seite 1 '!$I$10)</f>
        <v>0</v>
      </c>
      <c r="K10" s="564"/>
    </row>
    <row r="11" spans="1:15" ht="31.5" customHeight="1">
      <c r="A11" s="257"/>
      <c r="B11" s="568" t="s">
        <v>121</v>
      </c>
      <c r="C11" s="569"/>
      <c r="D11" s="569"/>
      <c r="E11" s="569"/>
      <c r="F11" s="569"/>
      <c r="G11" s="569"/>
      <c r="H11" s="570">
        <f>'Seite 1 '!M26</f>
        <v>2618.3733333333334</v>
      </c>
      <c r="I11" s="1"/>
      <c r="J11" s="640">
        <f>IF('Seite 1 '!I10=0,0,H11/'Seite 1 '!$I$10)</f>
        <v>3740.5333333333338</v>
      </c>
      <c r="K11" s="571"/>
      <c r="M11" s="652"/>
      <c r="N11" s="652"/>
      <c r="O11" s="652"/>
    </row>
    <row r="12" spans="2:11" ht="31.5" customHeight="1">
      <c r="B12" s="572"/>
      <c r="C12" s="560" t="str">
        <f>'Seite 1 '!C28</f>
        <v> Bestandsergänzung</v>
      </c>
      <c r="D12" s="560"/>
      <c r="E12" s="560"/>
      <c r="F12" s="560"/>
      <c r="G12" s="560"/>
      <c r="H12" s="567">
        <f>'Seite 1 '!M28</f>
        <v>583.3333333333333</v>
      </c>
      <c r="I12" s="325"/>
      <c r="J12" s="563">
        <f>IF('Seite 1 '!I10=0,0,H12/'Seite 1 '!$I$10)</f>
        <v>833.3333333333333</v>
      </c>
      <c r="K12" s="564"/>
    </row>
    <row r="13" spans="2:11" ht="31.5" customHeight="1">
      <c r="B13" s="573"/>
      <c r="C13" s="566" t="str">
        <f>'Seite 1 '!C30</f>
        <v> Aufzuchtkosten</v>
      </c>
      <c r="D13" s="566"/>
      <c r="E13" s="566"/>
      <c r="F13" s="566"/>
      <c r="G13" s="566"/>
      <c r="H13" s="567">
        <f>'Seite 1 '!M30</f>
        <v>40</v>
      </c>
      <c r="I13" s="1"/>
      <c r="J13" s="639">
        <f>IF('Seite 1 '!I10=0,0,H13/'Seite 1 '!$I$10)</f>
        <v>57.142857142857146</v>
      </c>
      <c r="K13" s="564"/>
    </row>
    <row r="14" spans="2:11" ht="31.5" customHeight="1">
      <c r="B14" s="573"/>
      <c r="C14" s="566" t="s">
        <v>219</v>
      </c>
      <c r="D14" s="566"/>
      <c r="E14" s="566"/>
      <c r="F14" s="566"/>
      <c r="G14" s="566"/>
      <c r="H14" s="567">
        <f>'Seite 1 '!M32</f>
        <v>762.7</v>
      </c>
      <c r="I14" s="1"/>
      <c r="J14" s="639">
        <f>IF('Seite 1 '!I10=0,0,H14/'Seite 1 '!$I$10)</f>
        <v>1089.5714285714287</v>
      </c>
      <c r="K14" s="564"/>
    </row>
    <row r="15" spans="2:11" ht="31.5" customHeight="1">
      <c r="B15" s="573"/>
      <c r="C15" s="566" t="s">
        <v>193</v>
      </c>
      <c r="D15" s="566"/>
      <c r="E15" s="566"/>
      <c r="F15" s="566"/>
      <c r="G15" s="566"/>
      <c r="H15" s="567">
        <f>'Seite 1 '!M44</f>
        <v>1430</v>
      </c>
      <c r="I15" s="1"/>
      <c r="J15" s="639">
        <f>IF('Seite 1 '!I10=0,0,H15/'Seite 1 '!$I$10)</f>
        <v>2042.857142857143</v>
      </c>
      <c r="K15" s="564"/>
    </row>
    <row r="16" spans="2:11" ht="31.5" customHeight="1">
      <c r="B16" s="573"/>
      <c r="C16" s="566" t="str">
        <f>'Seite 1 '!C52</f>
        <v> Variable Lohnkosten</v>
      </c>
      <c r="D16" s="566"/>
      <c r="E16" s="566"/>
      <c r="F16" s="566"/>
      <c r="G16" s="566"/>
      <c r="H16" s="567">
        <f>'Seite 1 '!M52</f>
        <v>0</v>
      </c>
      <c r="I16" s="1"/>
      <c r="J16" s="639">
        <f>IF('Seite 1 '!I10=0,0,H16/'Seite 1 '!$I$10)</f>
        <v>0</v>
      </c>
      <c r="K16" s="564"/>
    </row>
    <row r="17" spans="2:11" ht="31.5" customHeight="1">
      <c r="B17" s="573"/>
      <c r="C17" s="566" t="str">
        <f>'Seite 1 '!C53</f>
        <v> Zinsansatz</v>
      </c>
      <c r="D17" s="566"/>
      <c r="E17" s="566"/>
      <c r="F17" s="566"/>
      <c r="G17" s="566"/>
      <c r="H17" s="567">
        <f>'Seite 1 '!M53</f>
        <v>303.3372</v>
      </c>
      <c r="I17" s="1"/>
      <c r="J17" s="639">
        <f>IF('Seite 1 '!I10=0,0,H17/'Seite 1 '!$I$10)</f>
        <v>433.33885714285714</v>
      </c>
      <c r="K17" s="564"/>
    </row>
    <row r="18" spans="2:15" ht="37.5" customHeight="1" thickBot="1">
      <c r="B18" s="574" t="s">
        <v>122</v>
      </c>
      <c r="C18" s="214"/>
      <c r="D18" s="569"/>
      <c r="E18" s="569"/>
      <c r="F18" s="569"/>
      <c r="G18" s="569"/>
      <c r="H18" s="575">
        <f>SUM(H12:H17)</f>
        <v>3119.3705333333332</v>
      </c>
      <c r="I18" s="1"/>
      <c r="J18" s="641">
        <f>IF('Seite 1 '!I10=0,0,H18/'Seite 1 '!$I$10)</f>
        <v>4456.243619047619</v>
      </c>
      <c r="K18" s="564"/>
      <c r="M18" s="652"/>
      <c r="N18" s="652"/>
      <c r="O18" s="652"/>
    </row>
    <row r="19" spans="1:15" ht="49.5" customHeight="1" thickBot="1">
      <c r="A19" s="257"/>
      <c r="B19" s="576" t="s">
        <v>200</v>
      </c>
      <c r="C19" s="577"/>
      <c r="D19" s="577"/>
      <c r="E19" s="577"/>
      <c r="F19" s="577"/>
      <c r="G19" s="577"/>
      <c r="H19" s="665">
        <f>'Seite 1 '!M58</f>
        <v>-500.9971999999998</v>
      </c>
      <c r="I19" s="666"/>
      <c r="J19" s="667">
        <f>IF('Seite 1 '!I10=0,0,H19/'Seite 1 '!$I$10)</f>
        <v>-715.7102857142854</v>
      </c>
      <c r="K19" s="578"/>
      <c r="M19" s="652"/>
      <c r="N19" s="652"/>
      <c r="O19" s="652"/>
    </row>
    <row r="20" spans="2:11" ht="28.5" customHeight="1">
      <c r="B20" s="579"/>
      <c r="C20" s="566" t="s">
        <v>123</v>
      </c>
      <c r="D20" s="566"/>
      <c r="E20" s="566"/>
      <c r="F20" s="566"/>
      <c r="G20" s="566"/>
      <c r="H20" s="567">
        <f>'Seite 2'!K46</f>
        <v>78.8</v>
      </c>
      <c r="I20" s="1"/>
      <c r="J20" s="639">
        <f>IF('Seite 1 '!I10=0,0,H20/'Seite 1 '!$I$10)</f>
        <v>112.57142857142857</v>
      </c>
      <c r="K20" s="564"/>
    </row>
    <row r="21" spans="2:11" ht="31.5" customHeight="1">
      <c r="B21" s="579"/>
      <c r="C21" s="566" t="s">
        <v>124</v>
      </c>
      <c r="D21" s="566"/>
      <c r="E21" s="566"/>
      <c r="F21" s="566"/>
      <c r="G21" s="566"/>
      <c r="H21" s="567">
        <f>'Seite 2'!K58</f>
        <v>300</v>
      </c>
      <c r="I21" s="1"/>
      <c r="J21" s="639">
        <f>IF('Seite 1 '!I10=0,0,H21/'Seite 1 '!$I$10)</f>
        <v>428.5714285714286</v>
      </c>
      <c r="K21" s="564"/>
    </row>
    <row r="22" spans="2:11" ht="31.5" customHeight="1" hidden="1">
      <c r="B22" s="579"/>
      <c r="C22" s="566" t="s">
        <v>125</v>
      </c>
      <c r="D22" s="566"/>
      <c r="E22" s="566"/>
      <c r="F22" s="566"/>
      <c r="G22" s="566"/>
      <c r="H22" s="567">
        <f>'Seite 3'!J8</f>
        <v>0</v>
      </c>
      <c r="I22" s="1"/>
      <c r="J22" s="639">
        <f>IF('Seite 1 '!I10=0,0,H22/'Seite 1 '!$I$10)</f>
        <v>0</v>
      </c>
      <c r="K22" s="564"/>
    </row>
    <row r="23" spans="2:11" ht="31.5" customHeight="1">
      <c r="B23" s="579"/>
      <c r="C23" s="566" t="s">
        <v>228</v>
      </c>
      <c r="D23" s="566"/>
      <c r="E23" s="566"/>
      <c r="F23" s="566"/>
      <c r="G23" s="566"/>
      <c r="H23" s="567">
        <f>'Seite 3'!J11</f>
        <v>1143</v>
      </c>
      <c r="I23" s="1"/>
      <c r="J23" s="639">
        <f>IF('Seite 1 '!I10=0,0,H23/'Seite 1 '!$I$10)</f>
        <v>1632.857142857143</v>
      </c>
      <c r="K23" s="564"/>
    </row>
    <row r="24" spans="2:13" ht="31.5" customHeight="1">
      <c r="B24" s="579"/>
      <c r="C24" s="566" t="s">
        <v>126</v>
      </c>
      <c r="D24" s="566"/>
      <c r="E24" s="566"/>
      <c r="F24" s="566"/>
      <c r="G24" s="566"/>
      <c r="H24" s="567">
        <f>'Seite 3'!J16+'Seite 3'!J20</f>
        <v>170</v>
      </c>
      <c r="I24" s="1"/>
      <c r="J24" s="639">
        <f>IF('Seite 1 '!I10=0,0,H24/'Seite 1 '!$I$10)</f>
        <v>242.85714285714286</v>
      </c>
      <c r="K24" s="564"/>
      <c r="M24" s="547"/>
    </row>
    <row r="25" spans="1:15" ht="41.25" customHeight="1" thickBot="1">
      <c r="A25" s="257"/>
      <c r="B25" s="581" t="s">
        <v>127</v>
      </c>
      <c r="C25" s="297"/>
      <c r="D25" s="582"/>
      <c r="E25" s="582"/>
      <c r="F25" s="582"/>
      <c r="G25" s="582"/>
      <c r="H25" s="583">
        <f>SUM(H20:H24)</f>
        <v>1691.8</v>
      </c>
      <c r="I25" s="582"/>
      <c r="J25" s="642">
        <f>IF('Seite 1 '!I10=0,0,H25/'Seite 1 '!$I$10)</f>
        <v>2416.857142857143</v>
      </c>
      <c r="K25" s="584"/>
      <c r="O25" s="276"/>
    </row>
    <row r="26" spans="1:15" ht="11.25" customHeight="1" thickBot="1">
      <c r="A26" s="257"/>
      <c r="B26" s="616"/>
      <c r="C26" s="216"/>
      <c r="D26" s="566"/>
      <c r="E26" s="566"/>
      <c r="F26" s="566"/>
      <c r="G26" s="566"/>
      <c r="H26" s="731"/>
      <c r="I26" s="730"/>
      <c r="J26" s="728"/>
      <c r="K26" s="216"/>
      <c r="O26" s="276"/>
    </row>
    <row r="27" spans="1:15" ht="41.25" customHeight="1" thickBot="1">
      <c r="A27" s="257"/>
      <c r="B27" s="729" t="s">
        <v>218</v>
      </c>
      <c r="C27" s="536"/>
      <c r="D27" s="730"/>
      <c r="E27" s="730"/>
      <c r="F27" s="730"/>
      <c r="G27" s="730"/>
      <c r="H27" s="583">
        <f>H18+H25</f>
        <v>4811.170533333333</v>
      </c>
      <c r="I27" s="734"/>
      <c r="J27" s="732">
        <f>J18+J25</f>
        <v>6873.100761904762</v>
      </c>
      <c r="K27" s="733"/>
      <c r="O27" s="276"/>
    </row>
    <row r="28" spans="2:11" ht="27" customHeight="1" thickBot="1">
      <c r="B28" s="566"/>
      <c r="C28" s="566"/>
      <c r="D28" s="566"/>
      <c r="E28" s="566"/>
      <c r="F28" s="566"/>
      <c r="G28" s="566"/>
      <c r="H28" s="585"/>
      <c r="I28" s="216"/>
      <c r="J28" s="451"/>
      <c r="K28" s="216"/>
    </row>
    <row r="29" spans="2:13" ht="54" customHeight="1">
      <c r="B29" s="809" t="s">
        <v>194</v>
      </c>
      <c r="C29" s="810"/>
      <c r="D29" s="810"/>
      <c r="E29" s="810"/>
      <c r="F29" s="811"/>
      <c r="G29" s="748" t="s">
        <v>223</v>
      </c>
      <c r="H29" s="749">
        <f>H11-H27</f>
        <v>-2192.7971999999995</v>
      </c>
      <c r="I29" s="750"/>
      <c r="J29" s="815">
        <f>IF('Seite 1 '!I10=0,0,H29/'Seite 1 '!$I$10)</f>
        <v>-3132.567428571428</v>
      </c>
      <c r="K29" s="816"/>
      <c r="M29" s="652"/>
    </row>
    <row r="30" spans="2:11" ht="44.25" customHeight="1" thickBot="1">
      <c r="B30" s="812"/>
      <c r="C30" s="813"/>
      <c r="D30" s="813"/>
      <c r="E30" s="813"/>
      <c r="F30" s="814"/>
      <c r="G30" s="747" t="s">
        <v>224</v>
      </c>
      <c r="H30" s="668">
        <f>H29+H23</f>
        <v>-1049.7971999999995</v>
      </c>
      <c r="I30" s="669"/>
      <c r="J30" s="817">
        <f>J29+J23</f>
        <v>-1499.7102857142852</v>
      </c>
      <c r="K30" s="818"/>
    </row>
    <row r="31" spans="2:11" ht="18.75" customHeight="1" thickBot="1">
      <c r="B31" s="1"/>
      <c r="C31" s="1"/>
      <c r="D31" s="1"/>
      <c r="E31" s="1"/>
      <c r="F31" s="1"/>
      <c r="G31" s="1"/>
      <c r="H31" s="1"/>
      <c r="I31" s="1"/>
      <c r="J31" s="1"/>
      <c r="K31" s="258"/>
    </row>
    <row r="32" spans="2:11" ht="51.75" customHeight="1">
      <c r="B32" s="809" t="s">
        <v>195</v>
      </c>
      <c r="C32" s="810"/>
      <c r="D32" s="810"/>
      <c r="E32" s="810"/>
      <c r="F32" s="811"/>
      <c r="G32" s="748" t="s">
        <v>223</v>
      </c>
      <c r="H32" s="773"/>
      <c r="I32" s="773"/>
      <c r="J32" s="819">
        <f>J27-J9</f>
        <v>6632.5674285714285</v>
      </c>
      <c r="K32" s="820"/>
    </row>
    <row r="33" spans="2:11" ht="48" customHeight="1" thickBot="1">
      <c r="B33" s="812"/>
      <c r="C33" s="813"/>
      <c r="D33" s="813"/>
      <c r="E33" s="813"/>
      <c r="F33" s="814"/>
      <c r="G33" s="747" t="s">
        <v>224</v>
      </c>
      <c r="H33" s="774"/>
      <c r="I33" s="774"/>
      <c r="J33" s="821">
        <f>J32-J23</f>
        <v>4999.710285714285</v>
      </c>
      <c r="K33" s="822"/>
    </row>
    <row r="34" spans="2:7" ht="25.5">
      <c r="B34" s="539"/>
      <c r="C34" s="539"/>
      <c r="D34" s="539"/>
      <c r="E34" s="539"/>
      <c r="F34" s="539"/>
      <c r="G34" s="539"/>
    </row>
    <row r="35" spans="2:7" ht="25.5">
      <c r="B35" s="539"/>
      <c r="C35" s="539"/>
      <c r="D35" s="539"/>
      <c r="E35" s="539"/>
      <c r="F35" s="539"/>
      <c r="G35" s="539"/>
    </row>
    <row r="36" spans="2:7" ht="25.5">
      <c r="B36" s="539"/>
      <c r="C36" s="539"/>
      <c r="D36" s="539"/>
      <c r="E36" s="539"/>
      <c r="F36" s="539"/>
      <c r="G36" s="539"/>
    </row>
    <row r="37" spans="2:7" ht="25.5">
      <c r="B37" s="539"/>
      <c r="C37" s="539"/>
      <c r="D37" s="539"/>
      <c r="E37" s="539"/>
      <c r="F37" s="539"/>
      <c r="G37" s="539"/>
    </row>
    <row r="38" spans="2:7" ht="25.5">
      <c r="B38" s="539"/>
      <c r="C38" s="539"/>
      <c r="D38" s="539"/>
      <c r="E38" s="539"/>
      <c r="F38" s="539"/>
      <c r="G38" s="539"/>
    </row>
    <row r="39" spans="2:7" ht="25.5">
      <c r="B39" s="539"/>
      <c r="C39" s="539"/>
      <c r="D39" s="539"/>
      <c r="E39" s="539"/>
      <c r="F39" s="539"/>
      <c r="G39" s="539"/>
    </row>
    <row r="40" spans="2:7" ht="25.5">
      <c r="B40" s="539"/>
      <c r="C40" s="539"/>
      <c r="D40" s="539"/>
      <c r="E40" s="539"/>
      <c r="F40" s="539"/>
      <c r="G40" s="539"/>
    </row>
    <row r="41" spans="2:7" ht="25.5">
      <c r="B41" s="539"/>
      <c r="C41" s="539"/>
      <c r="D41" s="539"/>
      <c r="E41" s="539"/>
      <c r="F41" s="539"/>
      <c r="G41" s="539"/>
    </row>
    <row r="42" spans="2:7" ht="25.5">
      <c r="B42" s="539"/>
      <c r="C42" s="539"/>
      <c r="D42" s="539"/>
      <c r="E42" s="539"/>
      <c r="F42" s="539"/>
      <c r="G42" s="539"/>
    </row>
    <row r="43" spans="2:7" ht="25.5">
      <c r="B43" s="539"/>
      <c r="C43" s="539"/>
      <c r="D43" s="539"/>
      <c r="E43" s="539"/>
      <c r="F43" s="539"/>
      <c r="G43" s="539"/>
    </row>
  </sheetData>
  <sheetProtection sheet="1" objects="1" scenarios="1"/>
  <mergeCells count="9">
    <mergeCell ref="G2:K2"/>
    <mergeCell ref="J7:K7"/>
    <mergeCell ref="H7:I7"/>
    <mergeCell ref="B29:F30"/>
    <mergeCell ref="B32:F33"/>
    <mergeCell ref="J29:K29"/>
    <mergeCell ref="J30:K30"/>
    <mergeCell ref="J32:K32"/>
    <mergeCell ref="J33:K33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J7" sqref="J7"/>
    </sheetView>
  </sheetViews>
  <sheetFormatPr defaultColWidth="11.421875" defaultRowHeight="12.75"/>
  <cols>
    <col min="1" max="1" width="2.00390625" style="542" customWidth="1"/>
    <col min="2" max="2" width="4.140625" style="542" customWidth="1"/>
    <col min="3" max="3" width="4.28125" style="539" customWidth="1"/>
    <col min="4" max="4" width="11.57421875" style="539" customWidth="1"/>
    <col min="5" max="5" width="7.140625" style="539" customWidth="1"/>
    <col min="6" max="6" width="8.28125" style="539" customWidth="1"/>
    <col min="7" max="7" width="16.28125" style="539" customWidth="1"/>
    <col min="8" max="8" width="15.8515625" style="539" customWidth="1"/>
    <col min="9" max="9" width="23.7109375" style="539" customWidth="1"/>
    <col min="10" max="10" width="12.8515625" style="539" customWidth="1"/>
    <col min="11" max="11" width="22.7109375" style="539" customWidth="1"/>
    <col min="12" max="12" width="11.421875" style="539" customWidth="1"/>
    <col min="13" max="16384" width="11.421875" style="542" customWidth="1"/>
  </cols>
  <sheetData>
    <row r="1" spans="1:12" ht="6" customHeight="1">
      <c r="A1" s="374"/>
      <c r="L1" s="542"/>
    </row>
    <row r="2" spans="2:17" ht="27.75" customHeight="1">
      <c r="B2" s="587" t="s">
        <v>0</v>
      </c>
      <c r="C2" s="542"/>
      <c r="D2" s="588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89" t="str">
        <f>'Seite 1 '!B3</f>
        <v> - Produktionsverfahren Zuchtstutenhaltung -</v>
      </c>
      <c r="C3" s="237"/>
      <c r="D3" s="588"/>
      <c r="K3" s="590"/>
    </row>
    <row r="4" ht="15" customHeight="1"/>
    <row r="5" spans="2:12" ht="32.25" customHeight="1">
      <c r="B5" s="829" t="str">
        <f>'Seite 1 '!I2</f>
        <v>Zuchtstute m. Fohlen bis 5 Monate</v>
      </c>
      <c r="C5" s="830"/>
      <c r="D5" s="830"/>
      <c r="E5" s="830"/>
      <c r="F5" s="830"/>
      <c r="G5" s="830"/>
      <c r="H5" s="830"/>
      <c r="I5" s="830"/>
      <c r="J5" s="830"/>
      <c r="K5" s="831"/>
      <c r="L5" s="591"/>
    </row>
    <row r="6" spans="2:12" ht="29.25" customHeight="1">
      <c r="B6" s="592"/>
      <c r="C6" s="593"/>
      <c r="D6" s="594"/>
      <c r="E6" s="593"/>
      <c r="F6" s="595"/>
      <c r="G6" s="595"/>
      <c r="H6" s="595"/>
      <c r="I6" s="595"/>
      <c r="J6" s="595"/>
      <c r="K6" s="595"/>
      <c r="L6" s="591"/>
    </row>
    <row r="7" spans="2:12" ht="30" customHeight="1">
      <c r="B7" s="543" t="s">
        <v>118</v>
      </c>
      <c r="C7" s="633"/>
      <c r="D7" s="597"/>
      <c r="E7" s="1"/>
      <c r="F7" s="628" t="s">
        <v>128</v>
      </c>
      <c r="G7" s="643">
        <f>'Seite 1 '!J10</f>
        <v>3500</v>
      </c>
      <c r="H7" s="630" t="s">
        <v>214</v>
      </c>
      <c r="I7" s="653" t="str">
        <f>'Folie 1'!I5</f>
        <v>Abfohlrate:</v>
      </c>
      <c r="J7" s="629">
        <f>'Seite 1 '!I10</f>
        <v>0.7</v>
      </c>
      <c r="K7" s="596" t="str">
        <f>'Folie 1'!K5</f>
        <v> Stück</v>
      </c>
      <c r="L7" s="591"/>
    </row>
    <row r="8" spans="3:12" ht="30" customHeight="1" thickBot="1">
      <c r="C8" s="556"/>
      <c r="D8" s="542"/>
      <c r="E8" s="556"/>
      <c r="F8" s="598"/>
      <c r="G8" s="599"/>
      <c r="H8" s="600"/>
      <c r="I8" s="601"/>
      <c r="J8" s="602"/>
      <c r="K8" s="603"/>
      <c r="L8" s="591"/>
    </row>
    <row r="9" spans="2:12" ht="30" customHeight="1">
      <c r="B9" s="604"/>
      <c r="C9" s="605"/>
      <c r="D9" s="606"/>
      <c r="E9" s="605"/>
      <c r="F9" s="607"/>
      <c r="G9" s="608"/>
      <c r="H9" s="609"/>
      <c r="I9" s="610"/>
      <c r="J9" s="609"/>
      <c r="K9" s="611"/>
      <c r="L9" s="591"/>
    </row>
    <row r="10" spans="1:12" ht="30" customHeight="1">
      <c r="A10" s="374"/>
      <c r="B10" s="612"/>
      <c r="C10" s="613" t="s">
        <v>186</v>
      </c>
      <c r="D10" s="566"/>
      <c r="E10" s="566"/>
      <c r="F10" s="566"/>
      <c r="G10" s="566"/>
      <c r="H10" s="566"/>
      <c r="I10" s="327"/>
      <c r="J10" s="566"/>
      <c r="K10" s="614"/>
      <c r="L10" s="542"/>
    </row>
    <row r="11" spans="2:12" ht="30" customHeight="1">
      <c r="B11" s="612"/>
      <c r="C11" s="566"/>
      <c r="D11" s="580" t="s">
        <v>225</v>
      </c>
      <c r="E11" s="566"/>
      <c r="F11" s="566"/>
      <c r="G11" s="566"/>
      <c r="H11" s="566"/>
      <c r="I11" s="327"/>
      <c r="J11" s="619">
        <f>'Seite 3'!L27</f>
        <v>6632.567428571428</v>
      </c>
      <c r="K11" s="614" t="str">
        <f>H7</f>
        <v>€ / Fohlen</v>
      </c>
      <c r="L11" s="541"/>
    </row>
    <row r="12" spans="2:12" ht="31.5" customHeight="1" hidden="1">
      <c r="B12" s="612"/>
      <c r="C12" s="566"/>
      <c r="D12" s="580" t="s">
        <v>192</v>
      </c>
      <c r="E12" s="580"/>
      <c r="F12" s="580"/>
      <c r="G12" s="580"/>
      <c r="H12" s="580"/>
      <c r="I12" s="327"/>
      <c r="J12" s="637" t="e">
        <f>'Seite 3'!L27+#REF!</f>
        <v>#REF!</v>
      </c>
      <c r="K12" s="614">
        <f>H8</f>
        <v>0</v>
      </c>
      <c r="L12" s="556"/>
    </row>
    <row r="13" spans="2:12" ht="30" customHeight="1">
      <c r="B13" s="612"/>
      <c r="C13" s="327"/>
      <c r="D13" s="655" t="s">
        <v>226</v>
      </c>
      <c r="E13" s="327"/>
      <c r="F13" s="327"/>
      <c r="G13" s="327"/>
      <c r="H13" s="327"/>
      <c r="I13" s="327"/>
      <c r="J13" s="619">
        <f>J11-'Seite 3'!L11</f>
        <v>4999.7102857142845</v>
      </c>
      <c r="K13" s="654" t="str">
        <f>H7</f>
        <v>€ / Fohlen</v>
      </c>
      <c r="L13" s="541"/>
    </row>
    <row r="14" spans="2:12" ht="57.75" customHeight="1">
      <c r="B14" s="612"/>
      <c r="C14" s="616" t="str">
        <f>'Seite 3'!C29</f>
        <v> Kalkulatorisches Betriebszweigergebnis</v>
      </c>
      <c r="D14" s="617"/>
      <c r="E14" s="618"/>
      <c r="F14" s="618"/>
      <c r="G14" s="618"/>
      <c r="H14" s="618"/>
      <c r="I14" s="327"/>
      <c r="J14" s="619">
        <f>'Seite 3'!J29</f>
        <v>-2192.7972</v>
      </c>
      <c r="K14" s="614" t="s">
        <v>188</v>
      </c>
      <c r="L14" s="541"/>
    </row>
    <row r="15" spans="2:12" ht="9" customHeight="1">
      <c r="B15" s="612"/>
      <c r="C15" s="327"/>
      <c r="D15" s="327"/>
      <c r="E15" s="327"/>
      <c r="F15" s="327"/>
      <c r="G15" s="327"/>
      <c r="H15" s="327"/>
      <c r="I15" s="327"/>
      <c r="J15" s="327"/>
      <c r="K15" s="634"/>
      <c r="L15" s="620"/>
    </row>
    <row r="16" spans="1:12" ht="38.25" customHeight="1">
      <c r="A16" s="374"/>
      <c r="B16" s="612"/>
      <c r="C16" s="613" t="s">
        <v>129</v>
      </c>
      <c r="D16" s="566"/>
      <c r="E16" s="566"/>
      <c r="F16" s="566"/>
      <c r="G16" s="566"/>
      <c r="H16" s="566"/>
      <c r="I16" s="327"/>
      <c r="J16" s="566"/>
      <c r="K16" s="614"/>
      <c r="L16" s="556"/>
    </row>
    <row r="17" spans="2:12" ht="33" customHeight="1">
      <c r="B17" s="612"/>
      <c r="C17" s="566"/>
      <c r="D17" s="566" t="s">
        <v>227</v>
      </c>
      <c r="E17" s="566"/>
      <c r="F17" s="566"/>
      <c r="G17" s="566"/>
      <c r="H17" s="566"/>
      <c r="I17" s="327"/>
      <c r="J17" s="615">
        <f>'Seite 3'!J33</f>
        <v>-11.632101939058172</v>
      </c>
      <c r="K17" s="614" t="s">
        <v>171</v>
      </c>
      <c r="L17" s="556"/>
    </row>
    <row r="18" spans="2:12" ht="31.5" customHeight="1">
      <c r="B18" s="612"/>
      <c r="C18" s="566"/>
      <c r="D18" s="566" t="s">
        <v>130</v>
      </c>
      <c r="E18" s="566"/>
      <c r="F18" s="566"/>
      <c r="G18" s="566"/>
      <c r="H18" s="566"/>
      <c r="I18" s="327"/>
      <c r="J18" s="619">
        <f>'Seite 3'!J34</f>
        <v>-1892.7972</v>
      </c>
      <c r="K18" s="614" t="s">
        <v>188</v>
      </c>
      <c r="L18" s="556"/>
    </row>
    <row r="19" spans="2:12" ht="31.5" customHeight="1">
      <c r="B19" s="612"/>
      <c r="C19" s="566"/>
      <c r="D19" s="621" t="s">
        <v>202</v>
      </c>
      <c r="E19" s="621"/>
      <c r="F19" s="621"/>
      <c r="G19" s="621"/>
      <c r="H19" s="621"/>
      <c r="I19" s="363"/>
      <c r="J19" s="622">
        <f>'Seite 3'!J35</f>
        <v>-25237.296000000002</v>
      </c>
      <c r="K19" s="623" t="s">
        <v>188</v>
      </c>
      <c r="L19" s="556"/>
    </row>
    <row r="20" spans="2:12" ht="31.5" customHeight="1" hidden="1">
      <c r="B20" s="612"/>
      <c r="C20" s="566"/>
      <c r="D20" s="566" t="s">
        <v>131</v>
      </c>
      <c r="E20" s="566"/>
      <c r="F20" s="566"/>
      <c r="G20" s="566"/>
      <c r="H20" s="566"/>
      <c r="I20" s="624"/>
      <c r="J20" s="632" t="e">
        <f>IF('Seite 3'!#REF!=0,"----",'Seite 3'!#REF!)</f>
        <v>#REF!</v>
      </c>
      <c r="K20" s="623" t="s">
        <v>166</v>
      </c>
      <c r="L20" s="556"/>
    </row>
    <row r="21" spans="2:12" ht="30" customHeight="1" hidden="1">
      <c r="B21" s="612"/>
      <c r="C21" s="613"/>
      <c r="D21" s="566"/>
      <c r="E21" s="566"/>
      <c r="F21" s="566"/>
      <c r="G21" s="566"/>
      <c r="H21" s="566"/>
      <c r="I21" s="566"/>
      <c r="J21" s="566"/>
      <c r="K21" s="625"/>
      <c r="L21" s="620"/>
    </row>
    <row r="22" spans="1:12" ht="58.5" customHeight="1">
      <c r="A22" s="374"/>
      <c r="B22" s="612"/>
      <c r="C22" s="616" t="s">
        <v>132</v>
      </c>
      <c r="D22" s="566"/>
      <c r="E22" s="566"/>
      <c r="F22" s="566"/>
      <c r="G22" s="566"/>
      <c r="H22" s="566"/>
      <c r="I22" s="327"/>
      <c r="J22" s="619"/>
      <c r="K22" s="614"/>
      <c r="L22" s="556"/>
    </row>
    <row r="23" spans="2:12" ht="22.5" customHeight="1">
      <c r="B23" s="612"/>
      <c r="C23" s="566"/>
      <c r="D23" s="566" t="str">
        <f>D17</f>
        <v>Verwertung der Arbeit der ständigen AK</v>
      </c>
      <c r="E23" s="566"/>
      <c r="F23" s="566"/>
      <c r="G23" s="566"/>
      <c r="H23" s="566"/>
      <c r="I23" s="327"/>
      <c r="J23" s="632">
        <f>'Seite 3'!J37</f>
        <v>-8.308002216066482</v>
      </c>
      <c r="K23" s="614" t="str">
        <f>K17</f>
        <v> € / AKh</v>
      </c>
      <c r="L23" s="556"/>
    </row>
    <row r="24" spans="2:12" ht="33" customHeight="1" hidden="1">
      <c r="B24" s="612"/>
      <c r="C24" s="613"/>
      <c r="D24" s="566" t="s">
        <v>133</v>
      </c>
      <c r="E24" s="566"/>
      <c r="F24" s="566"/>
      <c r="G24" s="566"/>
      <c r="H24" s="566"/>
      <c r="I24" s="327"/>
      <c r="J24" s="632" t="str">
        <f>IF('Seite 3'!L39=0,"----",'Seite 3'!L39)</f>
        <v>----</v>
      </c>
      <c r="K24" s="614" t="str">
        <f>K20</f>
        <v> € / kg</v>
      </c>
      <c r="L24" s="556"/>
    </row>
    <row r="25" spans="2:12" ht="30" customHeight="1" hidden="1">
      <c r="B25" s="612"/>
      <c r="C25" s="616"/>
      <c r="D25" s="566"/>
      <c r="E25" s="566"/>
      <c r="F25" s="566"/>
      <c r="G25" s="566"/>
      <c r="H25" s="566"/>
      <c r="I25" s="327"/>
      <c r="J25" s="619"/>
      <c r="K25" s="614"/>
      <c r="L25" s="620"/>
    </row>
    <row r="26" spans="2:12" ht="31.5" customHeight="1" hidden="1">
      <c r="B26" s="612"/>
      <c r="C26" s="613" t="s">
        <v>134</v>
      </c>
      <c r="D26" s="566"/>
      <c r="E26" s="566"/>
      <c r="F26" s="566"/>
      <c r="G26" s="566"/>
      <c r="H26" s="566"/>
      <c r="I26" s="566"/>
      <c r="J26" s="566"/>
      <c r="K26" s="625"/>
      <c r="L26" s="556"/>
    </row>
    <row r="27" spans="2:12" ht="33" customHeight="1" hidden="1">
      <c r="B27" s="612"/>
      <c r="C27" s="617"/>
      <c r="D27" s="566" t="s">
        <v>133</v>
      </c>
      <c r="E27" s="617"/>
      <c r="F27" s="617"/>
      <c r="G27" s="617"/>
      <c r="H27" s="617"/>
      <c r="I27" s="617"/>
      <c r="J27" s="632" t="str">
        <f>IF('Seite 3'!L41=0,"----",'Seite 3'!L41)</f>
        <v>----</v>
      </c>
      <c r="K27" s="614" t="str">
        <f>K24</f>
        <v> € / kg</v>
      </c>
      <c r="L27" s="556"/>
    </row>
    <row r="28" spans="2:12" ht="11.25" customHeight="1" thickBot="1">
      <c r="B28" s="626"/>
      <c r="C28" s="631"/>
      <c r="D28" s="631"/>
      <c r="E28" s="631"/>
      <c r="F28" s="631"/>
      <c r="G28" s="631"/>
      <c r="H28" s="631"/>
      <c r="I28" s="631"/>
      <c r="J28" s="631"/>
      <c r="K28" s="627"/>
      <c r="L28" s="556"/>
    </row>
    <row r="29" spans="11:12" ht="25.5">
      <c r="K29" s="586"/>
      <c r="L29" s="556"/>
    </row>
    <row r="30" ht="25.5">
      <c r="L30" s="556"/>
    </row>
    <row r="31" ht="25.5">
      <c r="L31" s="556"/>
    </row>
  </sheetData>
  <sheetProtection sheet="1" objects="1" scenarios="1"/>
  <mergeCells count="1">
    <mergeCell ref="B5:K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1.7109375" style="1" customWidth="1"/>
    <col min="2" max="2" width="3.00390625" style="1" customWidth="1"/>
    <col min="3" max="3" width="20.421875" style="1" customWidth="1"/>
    <col min="4" max="6" width="11.421875" style="1" customWidth="1"/>
    <col min="7" max="7" width="4.57421875" style="355" customWidth="1"/>
    <col min="8" max="8" width="24.7109375" style="1" customWidth="1"/>
    <col min="9" max="16384" width="11.421875" style="1" customWidth="1"/>
  </cols>
  <sheetData>
    <row r="1" ht="12.75">
      <c r="A1" s="258"/>
    </row>
    <row r="2" spans="2:7" ht="15.75">
      <c r="B2" s="321" t="s">
        <v>135</v>
      </c>
      <c r="C2" s="322"/>
      <c r="D2" s="322"/>
      <c r="E2" s="323"/>
      <c r="G2" s="1"/>
    </row>
    <row r="3" spans="2:7" ht="12.75">
      <c r="B3" s="316"/>
      <c r="C3" s="330">
        <v>9</v>
      </c>
      <c r="D3" s="2"/>
      <c r="E3" s="324"/>
      <c r="G3" s="1"/>
    </row>
    <row r="4" spans="2:7" ht="12.75">
      <c r="B4" s="311">
        <v>1</v>
      </c>
      <c r="C4" s="28"/>
      <c r="D4" s="325"/>
      <c r="E4" s="326"/>
      <c r="G4" s="1"/>
    </row>
    <row r="5" spans="2:7" ht="12.75">
      <c r="B5" s="312">
        <v>2</v>
      </c>
      <c r="C5" s="30" t="s">
        <v>136</v>
      </c>
      <c r="D5" s="327" t="s">
        <v>137</v>
      </c>
      <c r="E5" s="326" t="s">
        <v>166</v>
      </c>
      <c r="G5" s="1"/>
    </row>
    <row r="6" spans="2:7" ht="12.75">
      <c r="B6" s="312">
        <v>3</v>
      </c>
      <c r="C6" s="30" t="s">
        <v>138</v>
      </c>
      <c r="D6" s="327" t="s">
        <v>139</v>
      </c>
      <c r="E6" s="326" t="s">
        <v>167</v>
      </c>
      <c r="G6" s="1"/>
    </row>
    <row r="7" spans="2:7" ht="12.75">
      <c r="B7" s="314">
        <v>4</v>
      </c>
      <c r="C7" s="61" t="s">
        <v>140</v>
      </c>
      <c r="D7" s="304" t="s">
        <v>139</v>
      </c>
      <c r="E7" s="354" t="s">
        <v>167</v>
      </c>
      <c r="G7" s="1"/>
    </row>
    <row r="8" spans="2:7" ht="12.75">
      <c r="B8" s="312">
        <v>5</v>
      </c>
      <c r="C8" s="30" t="s">
        <v>141</v>
      </c>
      <c r="D8" s="327" t="s">
        <v>142</v>
      </c>
      <c r="E8" s="326" t="s">
        <v>168</v>
      </c>
      <c r="G8" s="1"/>
    </row>
    <row r="9" spans="2:7" ht="12.75">
      <c r="B9" s="314">
        <v>6</v>
      </c>
      <c r="C9" s="61" t="s">
        <v>143</v>
      </c>
      <c r="D9" s="304" t="s">
        <v>144</v>
      </c>
      <c r="E9" s="354" t="s">
        <v>169</v>
      </c>
      <c r="G9" s="1"/>
    </row>
    <row r="10" spans="2:7" ht="12.75">
      <c r="B10" s="312">
        <v>7</v>
      </c>
      <c r="C10" s="30" t="s">
        <v>145</v>
      </c>
      <c r="D10" s="327" t="s">
        <v>139</v>
      </c>
      <c r="E10" s="326" t="s">
        <v>167</v>
      </c>
      <c r="G10" s="1"/>
    </row>
    <row r="11" spans="2:7" ht="12.75">
      <c r="B11" s="314">
        <v>8</v>
      </c>
      <c r="C11" s="61" t="s">
        <v>146</v>
      </c>
      <c r="D11" s="304" t="s">
        <v>139</v>
      </c>
      <c r="E11" s="354" t="s">
        <v>167</v>
      </c>
      <c r="G11" s="1"/>
    </row>
    <row r="12" spans="2:7" ht="12.75">
      <c r="B12" s="312">
        <v>9</v>
      </c>
      <c r="C12" s="30" t="s">
        <v>147</v>
      </c>
      <c r="D12" s="327" t="s">
        <v>139</v>
      </c>
      <c r="E12" s="326" t="s">
        <v>213</v>
      </c>
      <c r="G12" s="1"/>
    </row>
    <row r="13" spans="2:7" ht="12.75">
      <c r="B13" s="314">
        <v>10</v>
      </c>
      <c r="C13" s="61" t="s">
        <v>148</v>
      </c>
      <c r="D13" s="304" t="s">
        <v>139</v>
      </c>
      <c r="E13" s="354" t="s">
        <v>167</v>
      </c>
      <c r="G13" s="1"/>
    </row>
    <row r="14" spans="2:7" ht="12.75">
      <c r="B14" s="314">
        <v>11</v>
      </c>
      <c r="C14" s="61" t="s">
        <v>149</v>
      </c>
      <c r="D14" s="304" t="s">
        <v>139</v>
      </c>
      <c r="E14" s="354" t="s">
        <v>167</v>
      </c>
      <c r="G14" s="1"/>
    </row>
    <row r="15" spans="2:5" ht="12.75">
      <c r="B15" s="312">
        <v>12</v>
      </c>
      <c r="C15" s="30" t="s">
        <v>150</v>
      </c>
      <c r="D15" s="327" t="s">
        <v>139</v>
      </c>
      <c r="E15" s="326" t="s">
        <v>167</v>
      </c>
    </row>
    <row r="16" spans="2:5" ht="12.75">
      <c r="B16" s="312">
        <v>13</v>
      </c>
      <c r="C16" s="30" t="s">
        <v>151</v>
      </c>
      <c r="D16" s="327" t="s">
        <v>139</v>
      </c>
      <c r="E16" s="326" t="s">
        <v>167</v>
      </c>
    </row>
    <row r="17" spans="2:5" ht="12.75">
      <c r="B17" s="312">
        <v>14</v>
      </c>
      <c r="C17" s="30" t="s">
        <v>152</v>
      </c>
      <c r="D17" s="327" t="s">
        <v>139</v>
      </c>
      <c r="E17" s="326" t="s">
        <v>167</v>
      </c>
    </row>
    <row r="18" spans="2:5" ht="12.75">
      <c r="B18" s="312">
        <v>15</v>
      </c>
      <c r="C18" s="30" t="s">
        <v>153</v>
      </c>
      <c r="D18" s="327" t="s">
        <v>139</v>
      </c>
      <c r="E18" s="326" t="s">
        <v>167</v>
      </c>
    </row>
    <row r="19" spans="2:5" ht="12.75">
      <c r="B19" s="312">
        <v>16</v>
      </c>
      <c r="C19" s="30" t="s">
        <v>154</v>
      </c>
      <c r="D19" s="327" t="s">
        <v>139</v>
      </c>
      <c r="E19" s="326" t="s">
        <v>167</v>
      </c>
    </row>
    <row r="20" spans="2:5" ht="12.75">
      <c r="B20" s="314">
        <v>17</v>
      </c>
      <c r="C20" s="304" t="s">
        <v>155</v>
      </c>
      <c r="D20" s="327" t="s">
        <v>139</v>
      </c>
      <c r="E20" s="326" t="s">
        <v>167</v>
      </c>
    </row>
    <row r="21" spans="2:5" ht="12.75">
      <c r="B21" s="314">
        <v>18</v>
      </c>
      <c r="C21" s="304" t="s">
        <v>156</v>
      </c>
      <c r="D21" s="2" t="s">
        <v>139</v>
      </c>
      <c r="E21" s="324" t="s">
        <v>167</v>
      </c>
    </row>
    <row r="22" spans="2:5" ht="12.75">
      <c r="B22" s="314">
        <v>19</v>
      </c>
      <c r="C22" s="304" t="s">
        <v>157</v>
      </c>
      <c r="D22" s="304" t="s">
        <v>137</v>
      </c>
      <c r="E22" s="354" t="s">
        <v>166</v>
      </c>
    </row>
    <row r="23" spans="2:5" ht="12.75">
      <c r="B23" s="312">
        <v>20</v>
      </c>
      <c r="C23" s="8" t="s">
        <v>158</v>
      </c>
      <c r="D23" s="363" t="s">
        <v>159</v>
      </c>
      <c r="E23" s="364" t="s">
        <v>170</v>
      </c>
    </row>
    <row r="24" spans="2:5" ht="12.75">
      <c r="B24" s="314">
        <v>21</v>
      </c>
      <c r="C24" s="62"/>
      <c r="D24" s="319"/>
      <c r="E24" s="320"/>
    </row>
    <row r="26" spans="2:3" ht="15.75">
      <c r="B26" s="328" t="s">
        <v>160</v>
      </c>
      <c r="C26" s="329"/>
    </row>
    <row r="27" spans="2:3" ht="12.75">
      <c r="B27" s="316"/>
      <c r="C27" s="331">
        <v>8</v>
      </c>
    </row>
    <row r="28" spans="2:3" ht="12.75">
      <c r="B28" s="312">
        <v>1</v>
      </c>
      <c r="C28" s="313"/>
    </row>
    <row r="29" spans="2:3" ht="12.75">
      <c r="B29" s="366">
        <v>2</v>
      </c>
      <c r="C29" s="367" t="s">
        <v>161</v>
      </c>
    </row>
    <row r="30" spans="2:3" ht="12.75">
      <c r="B30" s="312">
        <v>3</v>
      </c>
      <c r="C30" s="313" t="s">
        <v>162</v>
      </c>
    </row>
    <row r="31" spans="2:3" ht="12.75">
      <c r="B31" s="366">
        <v>4</v>
      </c>
      <c r="C31" s="367" t="s">
        <v>163</v>
      </c>
    </row>
    <row r="32" spans="2:3" ht="12.75">
      <c r="B32" s="312">
        <v>5</v>
      </c>
      <c r="C32" s="313" t="s">
        <v>164</v>
      </c>
    </row>
    <row r="33" spans="2:3" ht="12.75">
      <c r="B33" s="366">
        <v>6</v>
      </c>
      <c r="C33" s="367" t="s">
        <v>165</v>
      </c>
    </row>
    <row r="34" spans="2:3" ht="12.75">
      <c r="B34" s="312">
        <v>7</v>
      </c>
      <c r="C34" s="400" t="s">
        <v>243</v>
      </c>
    </row>
    <row r="35" spans="2:3" ht="12.75">
      <c r="B35" s="314">
        <v>8</v>
      </c>
      <c r="C35" s="401" t="s">
        <v>244</v>
      </c>
    </row>
    <row r="40" ht="12.75">
      <c r="E40" s="258"/>
    </row>
  </sheetData>
  <sheetProtection sheet="1" objects="1" scenarios="1"/>
  <printOptions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&amp;LLEL Schwäbisch Gmünd&amp;C&amp;F&amp;R&amp;A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2010-07-16T13:18:07Z</cp:lastPrinted>
  <dcterms:created xsi:type="dcterms:W3CDTF">2002-12-17T12:48:29Z</dcterms:created>
  <dcterms:modified xsi:type="dcterms:W3CDTF">2010-07-20T06:20:22Z</dcterms:modified>
  <cp:category/>
  <cp:version/>
  <cp:contentType/>
  <cp:contentStatus/>
</cp:coreProperties>
</file>